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PRE05\Documents\FINANCIERA\2025\Requerimientos\Concejo\Edward Arias\Proposiciones\Proposición N°249-2025\SOPORTES\Punto N°9\"/>
    </mc:Choice>
  </mc:AlternateContent>
  <xr:revisionPtr revIDLastSave="0" documentId="8_{531A7AD6-3778-43F0-A327-6DD11094D1C1}" xr6:coauthVersionLast="47" xr6:coauthVersionMax="47" xr10:uidLastSave="{00000000-0000-0000-0000-000000000000}"/>
  <bookViews>
    <workbookView xWindow="-120" yWindow="-120" windowWidth="20730" windowHeight="11160" xr2:uid="{68617992-F936-4BCD-BC5E-2A610D6F6483}"/>
  </bookViews>
  <sheets>
    <sheet name="RESUMEN FACT" sheetId="1" r:id="rId1"/>
    <sheet name="proyección recaudo total" sheetId="2" r:id="rId2"/>
    <sheet name="recuperación cxc" sheetId="3" r:id="rId3"/>
  </sheets>
  <definedNames>
    <definedName name="_xlnm._FilterDatabase" localSheetId="1" hidden="1">'proyección recaudo total'!$A$4:$X$30</definedName>
    <definedName name="_xlnm._FilterDatabase" localSheetId="2" hidden="1">'recuperación cxc'!$B$6:$AN$301</definedName>
    <definedName name="_xlnm._FilterDatabase" localSheetId="0" hidden="1">'RESUMEN FACT'!$A$4:$X$30</definedName>
    <definedName name="_xlnm.Print_Titles" localSheetId="2">'recuperación cxc'!$6:$6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2" l="1"/>
  <c r="N37" i="2" s="1"/>
  <c r="M38" i="2"/>
  <c r="M37" i="2" s="1"/>
  <c r="L38" i="2"/>
  <c r="K38" i="2"/>
  <c r="K37" i="2" s="1"/>
  <c r="J38" i="2"/>
  <c r="J37" i="2" s="1"/>
  <c r="I38" i="2"/>
  <c r="I37" i="2" s="1"/>
  <c r="H38" i="2"/>
  <c r="G38" i="2"/>
  <c r="G37" i="2" s="1"/>
  <c r="F38" i="2"/>
  <c r="F37" i="2" s="1"/>
  <c r="E38" i="2"/>
  <c r="E37" i="2" s="1"/>
  <c r="D38" i="2"/>
  <c r="L37" i="2"/>
  <c r="H37" i="2"/>
  <c r="D37" i="2"/>
  <c r="C37" i="2"/>
  <c r="O37" i="2" l="1"/>
  <c r="C38" i="2"/>
  <c r="O38" i="2" s="1"/>
  <c r="O40" i="2"/>
  <c r="N41" i="2"/>
  <c r="M41" i="2"/>
  <c r="L41" i="2"/>
  <c r="K41" i="2"/>
  <c r="J41" i="2"/>
  <c r="I41" i="2"/>
  <c r="H41" i="2"/>
  <c r="G41" i="2"/>
  <c r="F41" i="2"/>
  <c r="E41" i="2"/>
  <c r="D41" i="2"/>
  <c r="O32" i="1"/>
  <c r="C41" i="2" l="1"/>
  <c r="O41" i="2" s="1"/>
  <c r="C46" i="2"/>
  <c r="N6" i="2" l="1"/>
  <c r="M6" i="2"/>
  <c r="L6" i="2"/>
  <c r="K6" i="2"/>
  <c r="J6" i="2"/>
  <c r="I6" i="2"/>
  <c r="N7" i="2"/>
  <c r="M7" i="2"/>
  <c r="L7" i="2"/>
  <c r="K7" i="2"/>
  <c r="J7" i="2"/>
  <c r="I7" i="2"/>
  <c r="H7" i="2"/>
  <c r="G7" i="2"/>
  <c r="F7" i="2"/>
  <c r="E7" i="2"/>
  <c r="D7" i="2"/>
  <c r="E14" i="2"/>
  <c r="E10" i="2"/>
  <c r="F10" i="2"/>
  <c r="F14" i="2"/>
  <c r="N10" i="2"/>
  <c r="M10" i="2"/>
  <c r="L10" i="2"/>
  <c r="K10" i="2"/>
  <c r="J10" i="2"/>
  <c r="I10" i="2"/>
  <c r="H10" i="2"/>
  <c r="G10" i="2"/>
  <c r="D10" i="2"/>
  <c r="C30" i="2"/>
  <c r="M14" i="2"/>
  <c r="K14" i="2"/>
  <c r="L14" i="2"/>
  <c r="J14" i="2"/>
  <c r="I14" i="2"/>
  <c r="H14" i="2"/>
  <c r="G14" i="2"/>
  <c r="D14" i="2"/>
  <c r="N14" i="2"/>
  <c r="N28" i="2"/>
  <c r="M28" i="2"/>
  <c r="L28" i="2"/>
  <c r="K28" i="2"/>
  <c r="J28" i="2"/>
  <c r="I28" i="2"/>
  <c r="H28" i="2"/>
  <c r="G28" i="2"/>
  <c r="F28" i="2"/>
  <c r="E28" i="2"/>
  <c r="D28" i="2"/>
  <c r="N26" i="2"/>
  <c r="M26" i="2"/>
  <c r="L26" i="2"/>
  <c r="K26" i="2"/>
  <c r="J26" i="2"/>
  <c r="I26" i="2"/>
  <c r="H26" i="2"/>
  <c r="G26" i="2"/>
  <c r="F26" i="2"/>
  <c r="E26" i="2"/>
  <c r="D26" i="2"/>
  <c r="N25" i="2"/>
  <c r="K25" i="2"/>
  <c r="H25" i="2"/>
  <c r="E25" i="2"/>
  <c r="F25" i="2"/>
  <c r="G25" i="2"/>
  <c r="I25" i="2"/>
  <c r="J25" i="2"/>
  <c r="L25" i="2"/>
  <c r="M25" i="2"/>
  <c r="D25" i="2"/>
  <c r="E24" i="2"/>
  <c r="F24" i="2"/>
  <c r="G24" i="2"/>
  <c r="H24" i="2"/>
  <c r="I24" i="2"/>
  <c r="J24" i="2"/>
  <c r="K24" i="2"/>
  <c r="L24" i="2"/>
  <c r="M24" i="2"/>
  <c r="N24" i="2"/>
  <c r="D24" i="2"/>
  <c r="E23" i="2"/>
  <c r="F23" i="2"/>
  <c r="G23" i="2"/>
  <c r="H23" i="2"/>
  <c r="I23" i="2"/>
  <c r="J23" i="2"/>
  <c r="K23" i="2"/>
  <c r="L23" i="2"/>
  <c r="M23" i="2"/>
  <c r="N23" i="2"/>
  <c r="D23" i="2"/>
  <c r="E22" i="2"/>
  <c r="F22" i="2"/>
  <c r="G22" i="2"/>
  <c r="H22" i="2"/>
  <c r="I22" i="2"/>
  <c r="J22" i="2"/>
  <c r="K22" i="2"/>
  <c r="L22" i="2"/>
  <c r="M22" i="2"/>
  <c r="N22" i="2"/>
  <c r="E21" i="2"/>
  <c r="F21" i="2"/>
  <c r="G21" i="2"/>
  <c r="H21" i="2"/>
  <c r="I21" i="2"/>
  <c r="J21" i="2"/>
  <c r="K21" i="2"/>
  <c r="L21" i="2"/>
  <c r="M21" i="2"/>
  <c r="N21" i="2"/>
  <c r="E20" i="2"/>
  <c r="F20" i="2"/>
  <c r="G20" i="2"/>
  <c r="H20" i="2"/>
  <c r="I20" i="2"/>
  <c r="J20" i="2"/>
  <c r="K20" i="2"/>
  <c r="L20" i="2"/>
  <c r="M20" i="2"/>
  <c r="N20" i="2"/>
  <c r="D20" i="2"/>
  <c r="E18" i="2"/>
  <c r="F18" i="2"/>
  <c r="G18" i="2"/>
  <c r="H18" i="2"/>
  <c r="I18" i="2"/>
  <c r="J18" i="2"/>
  <c r="K18" i="2"/>
  <c r="L18" i="2"/>
  <c r="M18" i="2"/>
  <c r="N18" i="2"/>
  <c r="D18" i="2"/>
  <c r="E17" i="2"/>
  <c r="F17" i="2"/>
  <c r="G17" i="2"/>
  <c r="H17" i="2"/>
  <c r="I17" i="2"/>
  <c r="J17" i="2"/>
  <c r="K17" i="2"/>
  <c r="L17" i="2"/>
  <c r="M17" i="2"/>
  <c r="N17" i="2"/>
  <c r="D17" i="2"/>
  <c r="E16" i="2"/>
  <c r="F16" i="2"/>
  <c r="G16" i="2"/>
  <c r="H16" i="2"/>
  <c r="I16" i="2"/>
  <c r="J16" i="2"/>
  <c r="K16" i="2"/>
  <c r="L16" i="2"/>
  <c r="M16" i="2"/>
  <c r="N16" i="2"/>
  <c r="D16" i="2"/>
  <c r="N15" i="2"/>
  <c r="M15" i="2"/>
  <c r="L15" i="2"/>
  <c r="K15" i="2"/>
  <c r="J15" i="2"/>
  <c r="I15" i="2"/>
  <c r="H15" i="2"/>
  <c r="G15" i="2"/>
  <c r="E15" i="2"/>
  <c r="F15" i="2"/>
  <c r="D15" i="2"/>
  <c r="E12" i="2"/>
  <c r="F12" i="2"/>
  <c r="G12" i="2"/>
  <c r="H12" i="2"/>
  <c r="I12" i="2"/>
  <c r="J12" i="2"/>
  <c r="K12" i="2"/>
  <c r="L12" i="2"/>
  <c r="M12" i="2"/>
  <c r="N12" i="2"/>
  <c r="E13" i="2"/>
  <c r="F13" i="2"/>
  <c r="G13" i="2"/>
  <c r="H13" i="2"/>
  <c r="I13" i="2"/>
  <c r="J13" i="2"/>
  <c r="K13" i="2"/>
  <c r="L13" i="2"/>
  <c r="M13" i="2"/>
  <c r="N13" i="2"/>
  <c r="D13" i="2"/>
  <c r="D12" i="2"/>
  <c r="E11" i="2"/>
  <c r="F11" i="2"/>
  <c r="G11" i="2"/>
  <c r="H11" i="2"/>
  <c r="I11" i="2"/>
  <c r="J11" i="2"/>
  <c r="K11" i="2"/>
  <c r="L11" i="2"/>
  <c r="M11" i="2"/>
  <c r="N11" i="2"/>
  <c r="N29" i="2"/>
  <c r="M29" i="2"/>
  <c r="L29" i="2"/>
  <c r="K29" i="2"/>
  <c r="J29" i="2"/>
  <c r="I29" i="2"/>
  <c r="H29" i="2"/>
  <c r="G29" i="2"/>
  <c r="F29" i="2"/>
  <c r="E29" i="2"/>
  <c r="D29" i="2"/>
  <c r="N27" i="2"/>
  <c r="M27" i="2"/>
  <c r="L27" i="2"/>
  <c r="K27" i="2"/>
  <c r="J27" i="2"/>
  <c r="I27" i="2"/>
  <c r="H27" i="2"/>
  <c r="G27" i="2"/>
  <c r="F27" i="2"/>
  <c r="E27" i="2"/>
  <c r="D27" i="2"/>
  <c r="N19" i="2"/>
  <c r="M19" i="2"/>
  <c r="L19" i="2"/>
  <c r="K19" i="2"/>
  <c r="J19" i="2"/>
  <c r="I19" i="2"/>
  <c r="H19" i="2"/>
  <c r="G19" i="2"/>
  <c r="F19" i="2"/>
  <c r="E19" i="2"/>
  <c r="D19" i="2"/>
  <c r="E9" i="2"/>
  <c r="F9" i="2"/>
  <c r="G9" i="2"/>
  <c r="H9" i="2"/>
  <c r="I9" i="2"/>
  <c r="J9" i="2"/>
  <c r="K9" i="2"/>
  <c r="L9" i="2"/>
  <c r="M9" i="2"/>
  <c r="N9" i="2"/>
  <c r="D9" i="2"/>
  <c r="E8" i="2"/>
  <c r="F8" i="2"/>
  <c r="G8" i="2"/>
  <c r="H8" i="2"/>
  <c r="I8" i="2"/>
  <c r="J8" i="2"/>
  <c r="K8" i="2"/>
  <c r="L8" i="2"/>
  <c r="M8" i="2"/>
  <c r="N8" i="2"/>
  <c r="D8" i="2"/>
  <c r="E5" i="2"/>
  <c r="F5" i="2"/>
  <c r="G5" i="2"/>
  <c r="H5" i="2"/>
  <c r="I5" i="2"/>
  <c r="J5" i="2"/>
  <c r="K5" i="2"/>
  <c r="L5" i="2"/>
  <c r="M5" i="2"/>
  <c r="N5" i="2"/>
  <c r="E6" i="2"/>
  <c r="F6" i="2"/>
  <c r="G6" i="2"/>
  <c r="H6" i="2"/>
  <c r="D6" i="2"/>
  <c r="N32" i="2"/>
  <c r="M32" i="2"/>
  <c r="L32" i="2"/>
  <c r="K32" i="2"/>
  <c r="J32" i="2"/>
  <c r="I32" i="2"/>
  <c r="H32" i="2"/>
  <c r="G32" i="2"/>
  <c r="F32" i="2"/>
  <c r="E32" i="2"/>
  <c r="D32" i="2"/>
  <c r="C32" i="2"/>
  <c r="D11" i="2"/>
  <c r="D21" i="2"/>
  <c r="D22" i="2"/>
  <c r="D5" i="2"/>
  <c r="J30" i="2" l="1"/>
  <c r="G30" i="2"/>
  <c r="H30" i="2"/>
  <c r="K30" i="2"/>
  <c r="D30" i="2"/>
  <c r="M30" i="2"/>
  <c r="L30" i="2"/>
  <c r="I30" i="2"/>
  <c r="N30" i="2"/>
  <c r="E30" i="2"/>
  <c r="F30" i="2"/>
  <c r="AE292" i="3"/>
  <c r="AB292" i="3"/>
  <c r="P314" i="3" l="1"/>
  <c r="O314" i="3"/>
  <c r="N314" i="3"/>
  <c r="M314" i="3"/>
  <c r="L314" i="3"/>
  <c r="K314" i="3"/>
  <c r="J314" i="3"/>
  <c r="I314" i="3"/>
  <c r="H314" i="3"/>
  <c r="G314" i="3"/>
  <c r="F314" i="3"/>
  <c r="E314" i="3"/>
  <c r="Q313" i="3"/>
  <c r="Q312" i="3"/>
  <c r="Q311" i="3"/>
  <c r="Q310" i="3"/>
  <c r="Q309" i="3"/>
  <c r="Q314" i="3" s="1"/>
  <c r="AD307" i="3"/>
  <c r="AE307" i="3" s="1"/>
  <c r="AM301" i="3"/>
  <c r="AL301" i="3"/>
  <c r="AK301" i="3"/>
  <c r="P301" i="3"/>
  <c r="O301" i="3"/>
  <c r="N301" i="3"/>
  <c r="M301" i="3"/>
  <c r="L301" i="3"/>
  <c r="K301" i="3"/>
  <c r="G301" i="3"/>
  <c r="F301" i="3"/>
  <c r="E301" i="3"/>
  <c r="AE300" i="3"/>
  <c r="X300" i="3"/>
  <c r="AG300" i="3" s="1"/>
  <c r="W300" i="3"/>
  <c r="AF300" i="3" s="1"/>
  <c r="V300" i="3"/>
  <c r="U300" i="3"/>
  <c r="AD300" i="3" s="1"/>
  <c r="T300" i="3"/>
  <c r="AC300" i="3" s="1"/>
  <c r="H300" i="3"/>
  <c r="S300" i="3" s="1"/>
  <c r="AB300" i="3" s="1"/>
  <c r="X299" i="3"/>
  <c r="AG299" i="3" s="1"/>
  <c r="W299" i="3"/>
  <c r="AF299" i="3" s="1"/>
  <c r="V299" i="3"/>
  <c r="AE299" i="3" s="1"/>
  <c r="U299" i="3"/>
  <c r="AD299" i="3" s="1"/>
  <c r="T299" i="3"/>
  <c r="AC299" i="3" s="1"/>
  <c r="H299" i="3"/>
  <c r="S299" i="3" s="1"/>
  <c r="X298" i="3"/>
  <c r="AG298" i="3" s="1"/>
  <c r="W298" i="3"/>
  <c r="AF298" i="3" s="1"/>
  <c r="V298" i="3"/>
  <c r="AE298" i="3" s="1"/>
  <c r="U298" i="3"/>
  <c r="AD298" i="3" s="1"/>
  <c r="T298" i="3"/>
  <c r="AC298" i="3" s="1"/>
  <c r="H298" i="3"/>
  <c r="Y297" i="3"/>
  <c r="AH297" i="3" s="1"/>
  <c r="AI297" i="3" s="1"/>
  <c r="AJ297" i="3" s="1"/>
  <c r="X297" i="3"/>
  <c r="AG297" i="3" s="1"/>
  <c r="W297" i="3"/>
  <c r="AF297" i="3" s="1"/>
  <c r="V297" i="3"/>
  <c r="AE297" i="3" s="1"/>
  <c r="U297" i="3"/>
  <c r="AD297" i="3" s="1"/>
  <c r="T297" i="3"/>
  <c r="AC297" i="3" s="1"/>
  <c r="H297" i="3"/>
  <c r="S297" i="3" s="1"/>
  <c r="AB297" i="3" s="1"/>
  <c r="X296" i="3"/>
  <c r="AG296" i="3" s="1"/>
  <c r="W296" i="3"/>
  <c r="AF296" i="3" s="1"/>
  <c r="V296" i="3"/>
  <c r="AE296" i="3" s="1"/>
  <c r="U296" i="3"/>
  <c r="AD296" i="3" s="1"/>
  <c r="T296" i="3"/>
  <c r="AC296" i="3" s="1"/>
  <c r="H296" i="3"/>
  <c r="S296" i="3" s="1"/>
  <c r="AB296" i="3" s="1"/>
  <c r="X295" i="3"/>
  <c r="AG295" i="3" s="1"/>
  <c r="W295" i="3"/>
  <c r="AF295" i="3" s="1"/>
  <c r="V295" i="3"/>
  <c r="AE295" i="3" s="1"/>
  <c r="U295" i="3"/>
  <c r="AD295" i="3" s="1"/>
  <c r="T295" i="3"/>
  <c r="AC295" i="3" s="1"/>
  <c r="H295" i="3"/>
  <c r="S295" i="3" s="1"/>
  <c r="X294" i="3"/>
  <c r="AG294" i="3" s="1"/>
  <c r="W294" i="3"/>
  <c r="AF294" i="3" s="1"/>
  <c r="V294" i="3"/>
  <c r="AE294" i="3" s="1"/>
  <c r="U294" i="3"/>
  <c r="AD294" i="3" s="1"/>
  <c r="T294" i="3"/>
  <c r="AC294" i="3" s="1"/>
  <c r="H294" i="3"/>
  <c r="X293" i="3"/>
  <c r="AG293" i="3" s="1"/>
  <c r="W293" i="3"/>
  <c r="AF293" i="3" s="1"/>
  <c r="V293" i="3"/>
  <c r="AE293" i="3" s="1"/>
  <c r="U293" i="3"/>
  <c r="AD293" i="3" s="1"/>
  <c r="T293" i="3"/>
  <c r="AC293" i="3" s="1"/>
  <c r="H293" i="3"/>
  <c r="S293" i="3" s="1"/>
  <c r="AB293" i="3" s="1"/>
  <c r="X292" i="3"/>
  <c r="AG292" i="3" s="1"/>
  <c r="W292" i="3"/>
  <c r="AF292" i="3" s="1"/>
  <c r="V292" i="3"/>
  <c r="U292" i="3"/>
  <c r="AD292" i="3" s="1"/>
  <c r="T292" i="3"/>
  <c r="AC292" i="3" s="1"/>
  <c r="S292" i="3"/>
  <c r="L292" i="3"/>
  <c r="J292" i="3"/>
  <c r="J301" i="3" s="1"/>
  <c r="I292" i="3"/>
  <c r="I301" i="3" s="1"/>
  <c r="H292" i="3"/>
  <c r="Q292" i="3" s="1"/>
  <c r="X291" i="3"/>
  <c r="AG291" i="3" s="1"/>
  <c r="W291" i="3"/>
  <c r="AF291" i="3" s="1"/>
  <c r="V291" i="3"/>
  <c r="AE291" i="3" s="1"/>
  <c r="U291" i="3"/>
  <c r="AD291" i="3" s="1"/>
  <c r="T291" i="3"/>
  <c r="AC291" i="3" s="1"/>
  <c r="H291" i="3"/>
  <c r="Q291" i="3" s="1"/>
  <c r="X290" i="3"/>
  <c r="W290" i="3"/>
  <c r="V290" i="3"/>
  <c r="AE290" i="3" s="1"/>
  <c r="U290" i="3"/>
  <c r="AD290" i="3" s="1"/>
  <c r="T290" i="3"/>
  <c r="AC290" i="3" s="1"/>
  <c r="H290" i="3"/>
  <c r="S290" i="3" s="1"/>
  <c r="X289" i="3"/>
  <c r="AG289" i="3" s="1"/>
  <c r="W289" i="3"/>
  <c r="AF289" i="3" s="1"/>
  <c r="V289" i="3"/>
  <c r="AE289" i="3" s="1"/>
  <c r="U289" i="3"/>
  <c r="AD289" i="3" s="1"/>
  <c r="T289" i="3"/>
  <c r="AC289" i="3" s="1"/>
  <c r="H289" i="3"/>
  <c r="Q289" i="3" s="1"/>
  <c r="X288" i="3"/>
  <c r="AG288" i="3" s="1"/>
  <c r="W288" i="3"/>
  <c r="AF288" i="3" s="1"/>
  <c r="V288" i="3"/>
  <c r="AE288" i="3" s="1"/>
  <c r="U288" i="3"/>
  <c r="AD288" i="3" s="1"/>
  <c r="T288" i="3"/>
  <c r="AC288" i="3" s="1"/>
  <c r="H288" i="3"/>
  <c r="X287" i="3"/>
  <c r="AG287" i="3" s="1"/>
  <c r="W287" i="3"/>
  <c r="AF287" i="3" s="1"/>
  <c r="V287" i="3"/>
  <c r="AE287" i="3" s="1"/>
  <c r="U287" i="3"/>
  <c r="AD287" i="3" s="1"/>
  <c r="T287" i="3"/>
  <c r="AC287" i="3" s="1"/>
  <c r="H287" i="3"/>
  <c r="Q287" i="3" s="1"/>
  <c r="X286" i="3"/>
  <c r="AG286" i="3" s="1"/>
  <c r="W286" i="3"/>
  <c r="AF286" i="3" s="1"/>
  <c r="V286" i="3"/>
  <c r="AE286" i="3" s="1"/>
  <c r="U286" i="3"/>
  <c r="AD286" i="3" s="1"/>
  <c r="T286" i="3"/>
  <c r="AC286" i="3" s="1"/>
  <c r="H286" i="3"/>
  <c r="S286" i="3" s="1"/>
  <c r="AB286" i="3" s="1"/>
  <c r="X285" i="3"/>
  <c r="AG285" i="3" s="1"/>
  <c r="W285" i="3"/>
  <c r="AF285" i="3" s="1"/>
  <c r="V285" i="3"/>
  <c r="AE285" i="3" s="1"/>
  <c r="U285" i="3"/>
  <c r="AD285" i="3" s="1"/>
  <c r="T285" i="3"/>
  <c r="AC285" i="3" s="1"/>
  <c r="H285" i="3"/>
  <c r="Q285" i="3" s="1"/>
  <c r="AH284" i="3"/>
  <c r="AI284" i="3" s="1"/>
  <c r="AJ284" i="3" s="1"/>
  <c r="AG284" i="3"/>
  <c r="AF284" i="3"/>
  <c r="V284" i="3"/>
  <c r="AE284" i="3" s="1"/>
  <c r="U284" i="3"/>
  <c r="AD284" i="3" s="1"/>
  <c r="T284" i="3"/>
  <c r="AC284" i="3" s="1"/>
  <c r="H284" i="3"/>
  <c r="S284" i="3" s="1"/>
  <c r="AB284" i="3" s="1"/>
  <c r="X283" i="3"/>
  <c r="AG283" i="3" s="1"/>
  <c r="W283" i="3"/>
  <c r="AF283" i="3" s="1"/>
  <c r="V283" i="3"/>
  <c r="AE283" i="3" s="1"/>
  <c r="U283" i="3"/>
  <c r="AD283" i="3" s="1"/>
  <c r="T283" i="3"/>
  <c r="AC283" i="3" s="1"/>
  <c r="H283" i="3"/>
  <c r="S283" i="3" s="1"/>
  <c r="X282" i="3"/>
  <c r="AG282" i="3" s="1"/>
  <c r="W282" i="3"/>
  <c r="AF282" i="3" s="1"/>
  <c r="V282" i="3"/>
  <c r="AE282" i="3" s="1"/>
  <c r="U282" i="3"/>
  <c r="AD282" i="3" s="1"/>
  <c r="T282" i="3"/>
  <c r="AC282" i="3" s="1"/>
  <c r="H282" i="3"/>
  <c r="X281" i="3"/>
  <c r="AG281" i="3" s="1"/>
  <c r="W281" i="3"/>
  <c r="AF281" i="3" s="1"/>
  <c r="V281" i="3"/>
  <c r="AE281" i="3" s="1"/>
  <c r="U281" i="3"/>
  <c r="AD281" i="3" s="1"/>
  <c r="T281" i="3"/>
  <c r="AC281" i="3" s="1"/>
  <c r="H281" i="3"/>
  <c r="Q281" i="3" s="1"/>
  <c r="X280" i="3"/>
  <c r="AG280" i="3" s="1"/>
  <c r="W280" i="3"/>
  <c r="AF280" i="3" s="1"/>
  <c r="V280" i="3"/>
  <c r="U280" i="3"/>
  <c r="T280" i="3"/>
  <c r="AC280" i="3" s="1"/>
  <c r="H280" i="3"/>
  <c r="S280" i="3" s="1"/>
  <c r="X279" i="3"/>
  <c r="AG279" i="3" s="1"/>
  <c r="W279" i="3"/>
  <c r="AF279" i="3" s="1"/>
  <c r="V279" i="3"/>
  <c r="AE279" i="3" s="1"/>
  <c r="U279" i="3"/>
  <c r="AD279" i="3" s="1"/>
  <c r="T279" i="3"/>
  <c r="AC279" i="3" s="1"/>
  <c r="H279" i="3"/>
  <c r="S279" i="3" s="1"/>
  <c r="X278" i="3"/>
  <c r="AG278" i="3" s="1"/>
  <c r="W278" i="3"/>
  <c r="AF278" i="3" s="1"/>
  <c r="V278" i="3"/>
  <c r="AE278" i="3" s="1"/>
  <c r="U278" i="3"/>
  <c r="AD278" i="3" s="1"/>
  <c r="T278" i="3"/>
  <c r="AC278" i="3" s="1"/>
  <c r="H278" i="3"/>
  <c r="X277" i="3"/>
  <c r="AG277" i="3" s="1"/>
  <c r="W277" i="3"/>
  <c r="AF277" i="3" s="1"/>
  <c r="V277" i="3"/>
  <c r="AE277" i="3" s="1"/>
  <c r="U277" i="3"/>
  <c r="AD277" i="3" s="1"/>
  <c r="T277" i="3"/>
  <c r="AC277" i="3" s="1"/>
  <c r="H277" i="3"/>
  <c r="S277" i="3" s="1"/>
  <c r="AE276" i="3"/>
  <c r="X276" i="3"/>
  <c r="AG276" i="3" s="1"/>
  <c r="W276" i="3"/>
  <c r="AF276" i="3" s="1"/>
  <c r="V276" i="3"/>
  <c r="U276" i="3"/>
  <c r="AD276" i="3" s="1"/>
  <c r="T276" i="3"/>
  <c r="AC276" i="3" s="1"/>
  <c r="H276" i="3"/>
  <c r="S276" i="3" s="1"/>
  <c r="AB276" i="3" s="1"/>
  <c r="X275" i="3"/>
  <c r="AG275" i="3" s="1"/>
  <c r="W275" i="3"/>
  <c r="AF275" i="3" s="1"/>
  <c r="V275" i="3"/>
  <c r="AE275" i="3" s="1"/>
  <c r="U275" i="3"/>
  <c r="AD275" i="3" s="1"/>
  <c r="T275" i="3"/>
  <c r="AC275" i="3" s="1"/>
  <c r="H275" i="3"/>
  <c r="S275" i="3" s="1"/>
  <c r="X274" i="3"/>
  <c r="AG274" i="3" s="1"/>
  <c r="W274" i="3"/>
  <c r="AF274" i="3" s="1"/>
  <c r="V274" i="3"/>
  <c r="AE274" i="3" s="1"/>
  <c r="U274" i="3"/>
  <c r="AD274" i="3" s="1"/>
  <c r="T274" i="3"/>
  <c r="AC274" i="3" s="1"/>
  <c r="H274" i="3"/>
  <c r="X273" i="3"/>
  <c r="AG273" i="3" s="1"/>
  <c r="W273" i="3"/>
  <c r="AF273" i="3" s="1"/>
  <c r="V273" i="3"/>
  <c r="AE273" i="3" s="1"/>
  <c r="U273" i="3"/>
  <c r="AD273" i="3" s="1"/>
  <c r="T273" i="3"/>
  <c r="AC273" i="3" s="1"/>
  <c r="H273" i="3"/>
  <c r="AH272" i="3"/>
  <c r="AI272" i="3" s="1"/>
  <c r="AJ272" i="3" s="1"/>
  <c r="AG272" i="3"/>
  <c r="AF272" i="3"/>
  <c r="V272" i="3"/>
  <c r="AE272" i="3" s="1"/>
  <c r="U272" i="3"/>
  <c r="AD272" i="3" s="1"/>
  <c r="T272" i="3"/>
  <c r="AC272" i="3" s="1"/>
  <c r="H272" i="3"/>
  <c r="Q272" i="3" s="1"/>
  <c r="X271" i="3"/>
  <c r="AG271" i="3" s="1"/>
  <c r="W271" i="3"/>
  <c r="AF271" i="3" s="1"/>
  <c r="V271" i="3"/>
  <c r="AE271" i="3" s="1"/>
  <c r="U271" i="3"/>
  <c r="AD271" i="3" s="1"/>
  <c r="T271" i="3"/>
  <c r="AC271" i="3" s="1"/>
  <c r="H271" i="3"/>
  <c r="Q271" i="3" s="1"/>
  <c r="X270" i="3"/>
  <c r="AG270" i="3" s="1"/>
  <c r="W270" i="3"/>
  <c r="AF270" i="3" s="1"/>
  <c r="V270" i="3"/>
  <c r="AE270" i="3" s="1"/>
  <c r="U270" i="3"/>
  <c r="AD270" i="3" s="1"/>
  <c r="T270" i="3"/>
  <c r="AC270" i="3" s="1"/>
  <c r="H270" i="3"/>
  <c r="S270" i="3" s="1"/>
  <c r="X269" i="3"/>
  <c r="W269" i="3"/>
  <c r="AF269" i="3" s="1"/>
  <c r="V269" i="3"/>
  <c r="U269" i="3"/>
  <c r="AD269" i="3" s="1"/>
  <c r="T269" i="3"/>
  <c r="H269" i="3"/>
  <c r="S269" i="3" s="1"/>
  <c r="AM268" i="3"/>
  <c r="AL268" i="3"/>
  <c r="AK268" i="3"/>
  <c r="P268" i="3"/>
  <c r="O268" i="3"/>
  <c r="N268" i="3"/>
  <c r="M268" i="3"/>
  <c r="L268" i="3"/>
  <c r="K268" i="3"/>
  <c r="J268" i="3"/>
  <c r="I268" i="3"/>
  <c r="G268" i="3"/>
  <c r="F268" i="3"/>
  <c r="E268" i="3"/>
  <c r="Y267" i="3"/>
  <c r="Y268" i="3" s="1"/>
  <c r="X267" i="3"/>
  <c r="W267" i="3"/>
  <c r="AF267" i="3" s="1"/>
  <c r="AF268" i="3" s="1"/>
  <c r="V267" i="3"/>
  <c r="AE267" i="3" s="1"/>
  <c r="AE268" i="3" s="1"/>
  <c r="U267" i="3"/>
  <c r="AD267" i="3" s="1"/>
  <c r="AD268" i="3" s="1"/>
  <c r="T267" i="3"/>
  <c r="AC267" i="3" s="1"/>
  <c r="AC268" i="3" s="1"/>
  <c r="H267" i="3"/>
  <c r="AM266" i="3"/>
  <c r="AL266" i="3"/>
  <c r="AK266" i="3"/>
  <c r="P266" i="3"/>
  <c r="O266" i="3"/>
  <c r="N266" i="3"/>
  <c r="M266" i="3"/>
  <c r="L266" i="3"/>
  <c r="K266" i="3"/>
  <c r="J266" i="3"/>
  <c r="I266" i="3"/>
  <c r="G266" i="3"/>
  <c r="F266" i="3"/>
  <c r="E266" i="3"/>
  <c r="X265" i="3"/>
  <c r="AG265" i="3" s="1"/>
  <c r="W265" i="3"/>
  <c r="AF265" i="3" s="1"/>
  <c r="V265" i="3"/>
  <c r="AE265" i="3" s="1"/>
  <c r="U265" i="3"/>
  <c r="AD265" i="3" s="1"/>
  <c r="T265" i="3"/>
  <c r="AC265" i="3" s="1"/>
  <c r="H265" i="3"/>
  <c r="Q265" i="3" s="1"/>
  <c r="X264" i="3"/>
  <c r="AG264" i="3" s="1"/>
  <c r="W264" i="3"/>
  <c r="AF264" i="3" s="1"/>
  <c r="V264" i="3"/>
  <c r="AE264" i="3" s="1"/>
  <c r="U264" i="3"/>
  <c r="AD264" i="3" s="1"/>
  <c r="T264" i="3"/>
  <c r="AC264" i="3" s="1"/>
  <c r="H264" i="3"/>
  <c r="Q264" i="3" s="1"/>
  <c r="X263" i="3"/>
  <c r="AG263" i="3" s="1"/>
  <c r="W263" i="3"/>
  <c r="AF263" i="3" s="1"/>
  <c r="V263" i="3"/>
  <c r="AE263" i="3" s="1"/>
  <c r="U263" i="3"/>
  <c r="AD263" i="3" s="1"/>
  <c r="T263" i="3"/>
  <c r="AC263" i="3" s="1"/>
  <c r="H263" i="3"/>
  <c r="X262" i="3"/>
  <c r="AG262" i="3" s="1"/>
  <c r="W262" i="3"/>
  <c r="AF262" i="3" s="1"/>
  <c r="V262" i="3"/>
  <c r="AE262" i="3" s="1"/>
  <c r="U262" i="3"/>
  <c r="AD262" i="3" s="1"/>
  <c r="T262" i="3"/>
  <c r="AC262" i="3" s="1"/>
  <c r="H262" i="3"/>
  <c r="X261" i="3"/>
  <c r="AG261" i="3" s="1"/>
  <c r="W261" i="3"/>
  <c r="AF261" i="3" s="1"/>
  <c r="V261" i="3"/>
  <c r="AE261" i="3" s="1"/>
  <c r="U261" i="3"/>
  <c r="AD261" i="3" s="1"/>
  <c r="T261" i="3"/>
  <c r="AC261" i="3" s="1"/>
  <c r="H261" i="3"/>
  <c r="X260" i="3"/>
  <c r="AG260" i="3" s="1"/>
  <c r="W260" i="3"/>
  <c r="AF260" i="3" s="1"/>
  <c r="V260" i="3"/>
  <c r="AE260" i="3" s="1"/>
  <c r="U260" i="3"/>
  <c r="AD260" i="3" s="1"/>
  <c r="T260" i="3"/>
  <c r="AC260" i="3" s="1"/>
  <c r="H260" i="3"/>
  <c r="S260" i="3" s="1"/>
  <c r="X259" i="3"/>
  <c r="AG259" i="3" s="1"/>
  <c r="W259" i="3"/>
  <c r="AF259" i="3" s="1"/>
  <c r="V259" i="3"/>
  <c r="AE259" i="3" s="1"/>
  <c r="U259" i="3"/>
  <c r="AD259" i="3" s="1"/>
  <c r="T259" i="3"/>
  <c r="AC259" i="3" s="1"/>
  <c r="H259" i="3"/>
  <c r="X258" i="3"/>
  <c r="AG258" i="3" s="1"/>
  <c r="W258" i="3"/>
  <c r="AF258" i="3" s="1"/>
  <c r="V258" i="3"/>
  <c r="AE258" i="3" s="1"/>
  <c r="U258" i="3"/>
  <c r="AD258" i="3" s="1"/>
  <c r="T258" i="3"/>
  <c r="AC258" i="3" s="1"/>
  <c r="H258" i="3"/>
  <c r="S258" i="3" s="1"/>
  <c r="X257" i="3"/>
  <c r="AG257" i="3" s="1"/>
  <c r="W257" i="3"/>
  <c r="AF257" i="3" s="1"/>
  <c r="V257" i="3"/>
  <c r="AE257" i="3" s="1"/>
  <c r="U257" i="3"/>
  <c r="AD257" i="3" s="1"/>
  <c r="T257" i="3"/>
  <c r="AC257" i="3" s="1"/>
  <c r="H257" i="3"/>
  <c r="X256" i="3"/>
  <c r="AG256" i="3" s="1"/>
  <c r="W256" i="3"/>
  <c r="AF256" i="3" s="1"/>
  <c r="V256" i="3"/>
  <c r="AE256" i="3" s="1"/>
  <c r="U256" i="3"/>
  <c r="AD256" i="3" s="1"/>
  <c r="T256" i="3"/>
  <c r="AC256" i="3" s="1"/>
  <c r="H256" i="3"/>
  <c r="S256" i="3" s="1"/>
  <c r="AH255" i="3"/>
  <c r="AI255" i="3" s="1"/>
  <c r="AJ255" i="3" s="1"/>
  <c r="AG255" i="3"/>
  <c r="AF255" i="3"/>
  <c r="V255" i="3"/>
  <c r="AE255" i="3" s="1"/>
  <c r="U255" i="3"/>
  <c r="AD255" i="3" s="1"/>
  <c r="T255" i="3"/>
  <c r="AC255" i="3" s="1"/>
  <c r="H255" i="3"/>
  <c r="S255" i="3" s="1"/>
  <c r="X254" i="3"/>
  <c r="AG254" i="3" s="1"/>
  <c r="W254" i="3"/>
  <c r="AF254" i="3" s="1"/>
  <c r="V254" i="3"/>
  <c r="AE254" i="3" s="1"/>
  <c r="U254" i="3"/>
  <c r="AD254" i="3" s="1"/>
  <c r="T254" i="3"/>
  <c r="AC254" i="3" s="1"/>
  <c r="H254" i="3"/>
  <c r="X253" i="3"/>
  <c r="AG253" i="3" s="1"/>
  <c r="W253" i="3"/>
  <c r="AF253" i="3" s="1"/>
  <c r="V253" i="3"/>
  <c r="AE253" i="3" s="1"/>
  <c r="U253" i="3"/>
  <c r="AD253" i="3" s="1"/>
  <c r="T253" i="3"/>
  <c r="AC253" i="3" s="1"/>
  <c r="H253" i="3"/>
  <c r="S253" i="3" s="1"/>
  <c r="X252" i="3"/>
  <c r="AG252" i="3" s="1"/>
  <c r="W252" i="3"/>
  <c r="AF252" i="3" s="1"/>
  <c r="V252" i="3"/>
  <c r="AE252" i="3" s="1"/>
  <c r="U252" i="3"/>
  <c r="AD252" i="3" s="1"/>
  <c r="T252" i="3"/>
  <c r="AC252" i="3" s="1"/>
  <c r="H252" i="3"/>
  <c r="S252" i="3" s="1"/>
  <c r="X251" i="3"/>
  <c r="AG251" i="3" s="1"/>
  <c r="W251" i="3"/>
  <c r="AF251" i="3" s="1"/>
  <c r="V251" i="3"/>
  <c r="AE251" i="3" s="1"/>
  <c r="U251" i="3"/>
  <c r="AD251" i="3" s="1"/>
  <c r="T251" i="3"/>
  <c r="AC251" i="3" s="1"/>
  <c r="H251" i="3"/>
  <c r="Q251" i="3" s="1"/>
  <c r="X250" i="3"/>
  <c r="AG250" i="3" s="1"/>
  <c r="W250" i="3"/>
  <c r="AF250" i="3" s="1"/>
  <c r="V250" i="3"/>
  <c r="AE250" i="3" s="1"/>
  <c r="U250" i="3"/>
  <c r="AD250" i="3" s="1"/>
  <c r="T250" i="3"/>
  <c r="AC250" i="3" s="1"/>
  <c r="H250" i="3"/>
  <c r="S250" i="3" s="1"/>
  <c r="AB250" i="3" s="1"/>
  <c r="X249" i="3"/>
  <c r="AG249" i="3" s="1"/>
  <c r="W249" i="3"/>
  <c r="AF249" i="3" s="1"/>
  <c r="V249" i="3"/>
  <c r="AE249" i="3" s="1"/>
  <c r="U249" i="3"/>
  <c r="T249" i="3"/>
  <c r="H249" i="3"/>
  <c r="S249" i="3" s="1"/>
  <c r="X248" i="3"/>
  <c r="AG248" i="3" s="1"/>
  <c r="W248" i="3"/>
  <c r="V248" i="3"/>
  <c r="U248" i="3"/>
  <c r="AD248" i="3" s="1"/>
  <c r="T248" i="3"/>
  <c r="AC248" i="3" s="1"/>
  <c r="H248" i="3"/>
  <c r="S248" i="3" s="1"/>
  <c r="AM247" i="3"/>
  <c r="AL247" i="3"/>
  <c r="AK247" i="3"/>
  <c r="P247" i="3"/>
  <c r="O247" i="3"/>
  <c r="N247" i="3"/>
  <c r="M247" i="3"/>
  <c r="L247" i="3"/>
  <c r="K247" i="3"/>
  <c r="J247" i="3"/>
  <c r="I247" i="3"/>
  <c r="G247" i="3"/>
  <c r="F247" i="3"/>
  <c r="E247" i="3"/>
  <c r="X246" i="3"/>
  <c r="AG246" i="3" s="1"/>
  <c r="W246" i="3"/>
  <c r="AF246" i="3" s="1"/>
  <c r="V246" i="3"/>
  <c r="AE246" i="3" s="1"/>
  <c r="U246" i="3"/>
  <c r="AD246" i="3" s="1"/>
  <c r="T246" i="3"/>
  <c r="AC246" i="3" s="1"/>
  <c r="H246" i="3"/>
  <c r="S246" i="3" s="1"/>
  <c r="AB246" i="3" s="1"/>
  <c r="X245" i="3"/>
  <c r="AG245" i="3" s="1"/>
  <c r="W245" i="3"/>
  <c r="AF245" i="3" s="1"/>
  <c r="V245" i="3"/>
  <c r="AE245" i="3" s="1"/>
  <c r="U245" i="3"/>
  <c r="AD245" i="3" s="1"/>
  <c r="T245" i="3"/>
  <c r="AC245" i="3" s="1"/>
  <c r="H245" i="3"/>
  <c r="S245" i="3" s="1"/>
  <c r="X244" i="3"/>
  <c r="AG244" i="3" s="1"/>
  <c r="W244" i="3"/>
  <c r="AF244" i="3" s="1"/>
  <c r="V244" i="3"/>
  <c r="AE244" i="3" s="1"/>
  <c r="U244" i="3"/>
  <c r="AD244" i="3" s="1"/>
  <c r="T244" i="3"/>
  <c r="AC244" i="3" s="1"/>
  <c r="H244" i="3"/>
  <c r="S244" i="3" s="1"/>
  <c r="AB244" i="3" s="1"/>
  <c r="X243" i="3"/>
  <c r="AG243" i="3" s="1"/>
  <c r="W243" i="3"/>
  <c r="AF243" i="3" s="1"/>
  <c r="V243" i="3"/>
  <c r="AE243" i="3" s="1"/>
  <c r="U243" i="3"/>
  <c r="AD243" i="3" s="1"/>
  <c r="T243" i="3"/>
  <c r="AC243" i="3" s="1"/>
  <c r="H243" i="3"/>
  <c r="S243" i="3" s="1"/>
  <c r="AB243" i="3" s="1"/>
  <c r="X242" i="3"/>
  <c r="AG242" i="3" s="1"/>
  <c r="W242" i="3"/>
  <c r="AF242" i="3" s="1"/>
  <c r="V242" i="3"/>
  <c r="AE242" i="3" s="1"/>
  <c r="U242" i="3"/>
  <c r="AD242" i="3" s="1"/>
  <c r="T242" i="3"/>
  <c r="AC242" i="3" s="1"/>
  <c r="H242" i="3"/>
  <c r="S242" i="3" s="1"/>
  <c r="AB242" i="3" s="1"/>
  <c r="X241" i="3"/>
  <c r="AG241" i="3" s="1"/>
  <c r="W241" i="3"/>
  <c r="AF241" i="3" s="1"/>
  <c r="V241" i="3"/>
  <c r="AE241" i="3" s="1"/>
  <c r="U241" i="3"/>
  <c r="AD241" i="3" s="1"/>
  <c r="T241" i="3"/>
  <c r="AC241" i="3" s="1"/>
  <c r="H241" i="3"/>
  <c r="S241" i="3" s="1"/>
  <c r="X240" i="3"/>
  <c r="W240" i="3"/>
  <c r="AF240" i="3" s="1"/>
  <c r="V240" i="3"/>
  <c r="AE240" i="3" s="1"/>
  <c r="U240" i="3"/>
  <c r="AD240" i="3" s="1"/>
  <c r="T240" i="3"/>
  <c r="AC240" i="3" s="1"/>
  <c r="H240" i="3"/>
  <c r="S240" i="3" s="1"/>
  <c r="AB240" i="3" s="1"/>
  <c r="X239" i="3"/>
  <c r="AG239" i="3" s="1"/>
  <c r="W239" i="3"/>
  <c r="AF239" i="3" s="1"/>
  <c r="V239" i="3"/>
  <c r="AE239" i="3" s="1"/>
  <c r="U239" i="3"/>
  <c r="AD239" i="3" s="1"/>
  <c r="T239" i="3"/>
  <c r="AC239" i="3" s="1"/>
  <c r="H239" i="3"/>
  <c r="S239" i="3" s="1"/>
  <c r="X238" i="3"/>
  <c r="AG238" i="3" s="1"/>
  <c r="W238" i="3"/>
  <c r="V238" i="3"/>
  <c r="AE238" i="3" s="1"/>
  <c r="U238" i="3"/>
  <c r="AD238" i="3" s="1"/>
  <c r="T238" i="3"/>
  <c r="AC238" i="3" s="1"/>
  <c r="H238" i="3"/>
  <c r="S238" i="3" s="1"/>
  <c r="X237" i="3"/>
  <c r="AG237" i="3" s="1"/>
  <c r="W237" i="3"/>
  <c r="AF237" i="3" s="1"/>
  <c r="V237" i="3"/>
  <c r="U237" i="3"/>
  <c r="T237" i="3"/>
  <c r="H237" i="3"/>
  <c r="AM236" i="3"/>
  <c r="AL236" i="3"/>
  <c r="AK236" i="3"/>
  <c r="Y236" i="3"/>
  <c r="P236" i="3"/>
  <c r="O236" i="3"/>
  <c r="N236" i="3"/>
  <c r="M236" i="3"/>
  <c r="L236" i="3"/>
  <c r="K236" i="3"/>
  <c r="J236" i="3"/>
  <c r="I236" i="3"/>
  <c r="G236" i="3"/>
  <c r="F236" i="3"/>
  <c r="E236" i="3"/>
  <c r="AH235" i="3"/>
  <c r="X235" i="3"/>
  <c r="AG235" i="3" s="1"/>
  <c r="AG236" i="3" s="1"/>
  <c r="W235" i="3"/>
  <c r="V235" i="3"/>
  <c r="U235" i="3"/>
  <c r="T235" i="3"/>
  <c r="AC235" i="3" s="1"/>
  <c r="AC236" i="3" s="1"/>
  <c r="H235" i="3"/>
  <c r="AM234" i="3"/>
  <c r="AL234" i="3"/>
  <c r="AK234" i="3"/>
  <c r="P234" i="3"/>
  <c r="O234" i="3"/>
  <c r="N234" i="3"/>
  <c r="M234" i="3"/>
  <c r="L234" i="3"/>
  <c r="K234" i="3"/>
  <c r="J234" i="3"/>
  <c r="I234" i="3"/>
  <c r="G234" i="3"/>
  <c r="F234" i="3"/>
  <c r="E234" i="3"/>
  <c r="X233" i="3"/>
  <c r="AG233" i="3" s="1"/>
  <c r="W233" i="3"/>
  <c r="AF233" i="3" s="1"/>
  <c r="V233" i="3"/>
  <c r="AE233" i="3" s="1"/>
  <c r="U233" i="3"/>
  <c r="AD233" i="3" s="1"/>
  <c r="T233" i="3"/>
  <c r="H233" i="3"/>
  <c r="Q233" i="3" s="1"/>
  <c r="X232" i="3"/>
  <c r="W232" i="3"/>
  <c r="AF232" i="3" s="1"/>
  <c r="V232" i="3"/>
  <c r="AE232" i="3" s="1"/>
  <c r="U232" i="3"/>
  <c r="AD232" i="3" s="1"/>
  <c r="T232" i="3"/>
  <c r="AC232" i="3" s="1"/>
  <c r="H232" i="3"/>
  <c r="Q232" i="3" s="1"/>
  <c r="AH231" i="3"/>
  <c r="AI231" i="3" s="1"/>
  <c r="AJ231" i="3" s="1"/>
  <c r="X231" i="3"/>
  <c r="AG231" i="3" s="1"/>
  <c r="W231" i="3"/>
  <c r="AF231" i="3" s="1"/>
  <c r="V231" i="3"/>
  <c r="AE231" i="3" s="1"/>
  <c r="U231" i="3"/>
  <c r="AD231" i="3" s="1"/>
  <c r="T231" i="3"/>
  <c r="AC231" i="3" s="1"/>
  <c r="H231" i="3"/>
  <c r="Q231" i="3" s="1"/>
  <c r="AH230" i="3"/>
  <c r="AI230" i="3" s="1"/>
  <c r="X230" i="3"/>
  <c r="AG230" i="3" s="1"/>
  <c r="W230" i="3"/>
  <c r="AF230" i="3" s="1"/>
  <c r="V230" i="3"/>
  <c r="U230" i="3"/>
  <c r="T230" i="3"/>
  <c r="AC230" i="3" s="1"/>
  <c r="H230" i="3"/>
  <c r="AM229" i="3"/>
  <c r="AL229" i="3"/>
  <c r="AK229" i="3"/>
  <c r="AJ229" i="3"/>
  <c r="AI229" i="3"/>
  <c r="AH229" i="3"/>
  <c r="AG229" i="3"/>
  <c r="AF229" i="3"/>
  <c r="AE229" i="3"/>
  <c r="AD229" i="3"/>
  <c r="AC229" i="3"/>
  <c r="AB229" i="3"/>
  <c r="Y229" i="3"/>
  <c r="X229" i="3"/>
  <c r="W229" i="3"/>
  <c r="V229" i="3"/>
  <c r="U229" i="3"/>
  <c r="T229" i="3"/>
  <c r="S229" i="3"/>
  <c r="P229" i="3"/>
  <c r="O229" i="3"/>
  <c r="N229" i="3"/>
  <c r="M229" i="3"/>
  <c r="L229" i="3"/>
  <c r="K229" i="3"/>
  <c r="J229" i="3"/>
  <c r="I229" i="3"/>
  <c r="G229" i="3"/>
  <c r="F229" i="3"/>
  <c r="E229" i="3"/>
  <c r="AN228" i="3"/>
  <c r="Z228" i="3"/>
  <c r="H228" i="3"/>
  <c r="Q228" i="3" s="1"/>
  <c r="AN227" i="3"/>
  <c r="Z227" i="3"/>
  <c r="H227" i="3"/>
  <c r="Q227" i="3" s="1"/>
  <c r="AN226" i="3"/>
  <c r="Z226" i="3"/>
  <c r="H226" i="3"/>
  <c r="Q226" i="3" s="1"/>
  <c r="AN225" i="3"/>
  <c r="Z225" i="3"/>
  <c r="H225" i="3"/>
  <c r="Q225" i="3" s="1"/>
  <c r="AN224" i="3"/>
  <c r="Z224" i="3"/>
  <c r="H224" i="3"/>
  <c r="Q224" i="3" s="1"/>
  <c r="AN223" i="3"/>
  <c r="Z223" i="3"/>
  <c r="H223" i="3"/>
  <c r="Q223" i="3" s="1"/>
  <c r="AN222" i="3"/>
  <c r="Z222" i="3"/>
  <c r="H222" i="3"/>
  <c r="Q222" i="3" s="1"/>
  <c r="AN221" i="3"/>
  <c r="Z221" i="3"/>
  <c r="H221" i="3"/>
  <c r="Q221" i="3" s="1"/>
  <c r="AN220" i="3"/>
  <c r="Z220" i="3"/>
  <c r="H220" i="3"/>
  <c r="Q220" i="3" s="1"/>
  <c r="AN219" i="3"/>
  <c r="Z219" i="3"/>
  <c r="H219" i="3"/>
  <c r="Q219" i="3" s="1"/>
  <c r="AN218" i="3"/>
  <c r="Z218" i="3"/>
  <c r="H218" i="3"/>
  <c r="Q218" i="3" s="1"/>
  <c r="AN217" i="3"/>
  <c r="Z217" i="3"/>
  <c r="H217" i="3"/>
  <c r="Q217" i="3" s="1"/>
  <c r="AN216" i="3"/>
  <c r="Z216" i="3"/>
  <c r="H216" i="3"/>
  <c r="Q216" i="3" s="1"/>
  <c r="AN215" i="3"/>
  <c r="Z215" i="3"/>
  <c r="H215" i="3"/>
  <c r="Q215" i="3" s="1"/>
  <c r="AN214" i="3"/>
  <c r="Z214" i="3"/>
  <c r="H214" i="3"/>
  <c r="Q214" i="3" s="1"/>
  <c r="AN213" i="3"/>
  <c r="Z213" i="3"/>
  <c r="H213" i="3"/>
  <c r="Q213" i="3" s="1"/>
  <c r="AN212" i="3"/>
  <c r="Z212" i="3"/>
  <c r="H212" i="3"/>
  <c r="Q212" i="3" s="1"/>
  <c r="AN211" i="3"/>
  <c r="Z211" i="3"/>
  <c r="H211" i="3"/>
  <c r="Q211" i="3" s="1"/>
  <c r="AN210" i="3"/>
  <c r="Z210" i="3"/>
  <c r="H210" i="3"/>
  <c r="Q210" i="3" s="1"/>
  <c r="AN209" i="3"/>
  <c r="Z209" i="3"/>
  <c r="H209" i="3"/>
  <c r="Q209" i="3" s="1"/>
  <c r="AN208" i="3"/>
  <c r="Z208" i="3"/>
  <c r="H208" i="3"/>
  <c r="Q208" i="3" s="1"/>
  <c r="AN207" i="3"/>
  <c r="Z207" i="3"/>
  <c r="H207" i="3"/>
  <c r="Q207" i="3" s="1"/>
  <c r="AN206" i="3"/>
  <c r="Z206" i="3"/>
  <c r="H206" i="3"/>
  <c r="Q206" i="3" s="1"/>
  <c r="AN205" i="3"/>
  <c r="Z205" i="3"/>
  <c r="H205" i="3"/>
  <c r="Q205" i="3" s="1"/>
  <c r="AN204" i="3"/>
  <c r="Z204" i="3"/>
  <c r="H204" i="3"/>
  <c r="Q204" i="3" s="1"/>
  <c r="AN203" i="3"/>
  <c r="Z203" i="3"/>
  <c r="H203" i="3"/>
  <c r="Q203" i="3" s="1"/>
  <c r="AN202" i="3"/>
  <c r="Z202" i="3"/>
  <c r="H202" i="3"/>
  <c r="Q202" i="3" s="1"/>
  <c r="AN201" i="3"/>
  <c r="Z201" i="3"/>
  <c r="H201" i="3"/>
  <c r="Q201" i="3" s="1"/>
  <c r="AN200" i="3"/>
  <c r="Z200" i="3"/>
  <c r="H200" i="3"/>
  <c r="Q200" i="3" s="1"/>
  <c r="AN199" i="3"/>
  <c r="Z199" i="3"/>
  <c r="H199" i="3"/>
  <c r="Q199" i="3" s="1"/>
  <c r="AN198" i="3"/>
  <c r="Z198" i="3"/>
  <c r="H198" i="3"/>
  <c r="Q198" i="3" s="1"/>
  <c r="AN197" i="3"/>
  <c r="Z197" i="3"/>
  <c r="H197" i="3"/>
  <c r="Q197" i="3" s="1"/>
  <c r="AN196" i="3"/>
  <c r="Z196" i="3"/>
  <c r="H196" i="3"/>
  <c r="Q196" i="3" s="1"/>
  <c r="AN195" i="3"/>
  <c r="Z195" i="3"/>
  <c r="H195" i="3"/>
  <c r="Q195" i="3" s="1"/>
  <c r="AN194" i="3"/>
  <c r="Z194" i="3"/>
  <c r="H194" i="3"/>
  <c r="Q194" i="3" s="1"/>
  <c r="AN193" i="3"/>
  <c r="Z193" i="3"/>
  <c r="H193" i="3"/>
  <c r="Q193" i="3" s="1"/>
  <c r="AN192" i="3"/>
  <c r="Z192" i="3"/>
  <c r="H192" i="3"/>
  <c r="Q192" i="3" s="1"/>
  <c r="AN191" i="3"/>
  <c r="Z191" i="3"/>
  <c r="H191" i="3"/>
  <c r="AM190" i="3"/>
  <c r="AL190" i="3"/>
  <c r="AK190" i="3"/>
  <c r="P190" i="3"/>
  <c r="O190" i="3"/>
  <c r="N190" i="3"/>
  <c r="M190" i="3"/>
  <c r="L190" i="3"/>
  <c r="K190" i="3"/>
  <c r="J190" i="3"/>
  <c r="I190" i="3"/>
  <c r="G190" i="3"/>
  <c r="F190" i="3"/>
  <c r="E190" i="3"/>
  <c r="X189" i="3"/>
  <c r="AG189" i="3" s="1"/>
  <c r="W189" i="3"/>
  <c r="AF189" i="3" s="1"/>
  <c r="V189" i="3"/>
  <c r="AE189" i="3" s="1"/>
  <c r="U189" i="3"/>
  <c r="AD189" i="3" s="1"/>
  <c r="T189" i="3"/>
  <c r="AC189" i="3" s="1"/>
  <c r="H189" i="3"/>
  <c r="X188" i="3"/>
  <c r="AG188" i="3" s="1"/>
  <c r="W188" i="3"/>
  <c r="AF188" i="3" s="1"/>
  <c r="V188" i="3"/>
  <c r="AE188" i="3" s="1"/>
  <c r="U188" i="3"/>
  <c r="AD188" i="3" s="1"/>
  <c r="T188" i="3"/>
  <c r="AC188" i="3" s="1"/>
  <c r="H188" i="3"/>
  <c r="S188" i="3" s="1"/>
  <c r="AB188" i="3" s="1"/>
  <c r="X187" i="3"/>
  <c r="AG187" i="3" s="1"/>
  <c r="W187" i="3"/>
  <c r="AF187" i="3" s="1"/>
  <c r="V187" i="3"/>
  <c r="U187" i="3"/>
  <c r="AD187" i="3" s="1"/>
  <c r="T187" i="3"/>
  <c r="AC187" i="3" s="1"/>
  <c r="H187" i="3"/>
  <c r="X186" i="3"/>
  <c r="AG186" i="3" s="1"/>
  <c r="W186" i="3"/>
  <c r="AF186" i="3" s="1"/>
  <c r="V186" i="3"/>
  <c r="AE186" i="3" s="1"/>
  <c r="U186" i="3"/>
  <c r="AD186" i="3" s="1"/>
  <c r="AD190" i="3" s="1"/>
  <c r="T186" i="3"/>
  <c r="H186" i="3"/>
  <c r="Q186" i="3" s="1"/>
  <c r="AM185" i="3"/>
  <c r="AL185" i="3"/>
  <c r="AK185" i="3"/>
  <c r="P185" i="3"/>
  <c r="O185" i="3"/>
  <c r="N185" i="3"/>
  <c r="M185" i="3"/>
  <c r="L185" i="3"/>
  <c r="K185" i="3"/>
  <c r="J185" i="3"/>
  <c r="I185" i="3"/>
  <c r="G185" i="3"/>
  <c r="F185" i="3"/>
  <c r="E185" i="3"/>
  <c r="X184" i="3"/>
  <c r="AG184" i="3" s="1"/>
  <c r="W184" i="3"/>
  <c r="AF184" i="3" s="1"/>
  <c r="V184" i="3"/>
  <c r="AE184" i="3" s="1"/>
  <c r="U184" i="3"/>
  <c r="AD184" i="3" s="1"/>
  <c r="T184" i="3"/>
  <c r="AC184" i="3" s="1"/>
  <c r="H184" i="3"/>
  <c r="Q184" i="3" s="1"/>
  <c r="X183" i="3"/>
  <c r="AG183" i="3" s="1"/>
  <c r="W183" i="3"/>
  <c r="AF183" i="3" s="1"/>
  <c r="V183" i="3"/>
  <c r="AE183" i="3" s="1"/>
  <c r="U183" i="3"/>
  <c r="AD183" i="3" s="1"/>
  <c r="T183" i="3"/>
  <c r="AC183" i="3" s="1"/>
  <c r="H183" i="3"/>
  <c r="Q183" i="3" s="1"/>
  <c r="X182" i="3"/>
  <c r="AG182" i="3" s="1"/>
  <c r="W182" i="3"/>
  <c r="AF182" i="3" s="1"/>
  <c r="V182" i="3"/>
  <c r="AE182" i="3" s="1"/>
  <c r="U182" i="3"/>
  <c r="AD182" i="3" s="1"/>
  <c r="T182" i="3"/>
  <c r="AC182" i="3" s="1"/>
  <c r="H182" i="3"/>
  <c r="Q182" i="3" s="1"/>
  <c r="X181" i="3"/>
  <c r="AG181" i="3" s="1"/>
  <c r="W181" i="3"/>
  <c r="AF181" i="3" s="1"/>
  <c r="V181" i="3"/>
  <c r="AE181" i="3" s="1"/>
  <c r="U181" i="3"/>
  <c r="AD181" i="3" s="1"/>
  <c r="T181" i="3"/>
  <c r="AC181" i="3" s="1"/>
  <c r="H181" i="3"/>
  <c r="S181" i="3" s="1"/>
  <c r="AB181" i="3" s="1"/>
  <c r="X180" i="3"/>
  <c r="AG180" i="3" s="1"/>
  <c r="W180" i="3"/>
  <c r="AF180" i="3" s="1"/>
  <c r="V180" i="3"/>
  <c r="AE180" i="3" s="1"/>
  <c r="U180" i="3"/>
  <c r="AD180" i="3" s="1"/>
  <c r="T180" i="3"/>
  <c r="AC180" i="3" s="1"/>
  <c r="H180" i="3"/>
  <c r="Q180" i="3" s="1"/>
  <c r="X179" i="3"/>
  <c r="AG179" i="3" s="1"/>
  <c r="W179" i="3"/>
  <c r="AF179" i="3" s="1"/>
  <c r="V179" i="3"/>
  <c r="AE179" i="3" s="1"/>
  <c r="U179" i="3"/>
  <c r="AD179" i="3" s="1"/>
  <c r="T179" i="3"/>
  <c r="AC179" i="3" s="1"/>
  <c r="H179" i="3"/>
  <c r="S179" i="3" s="1"/>
  <c r="AB179" i="3" s="1"/>
  <c r="X178" i="3"/>
  <c r="AG178" i="3" s="1"/>
  <c r="W178" i="3"/>
  <c r="AF178" i="3" s="1"/>
  <c r="V178" i="3"/>
  <c r="AE178" i="3" s="1"/>
  <c r="U178" i="3"/>
  <c r="AD178" i="3" s="1"/>
  <c r="T178" i="3"/>
  <c r="AC178" i="3" s="1"/>
  <c r="H178" i="3"/>
  <c r="Q178" i="3" s="1"/>
  <c r="X177" i="3"/>
  <c r="AG177" i="3" s="1"/>
  <c r="W177" i="3"/>
  <c r="AF177" i="3" s="1"/>
  <c r="V177" i="3"/>
  <c r="AE177" i="3" s="1"/>
  <c r="U177" i="3"/>
  <c r="AD177" i="3" s="1"/>
  <c r="T177" i="3"/>
  <c r="AC177" i="3" s="1"/>
  <c r="H177" i="3"/>
  <c r="Q177" i="3" s="1"/>
  <c r="X176" i="3"/>
  <c r="AG176" i="3" s="1"/>
  <c r="W176" i="3"/>
  <c r="AF176" i="3" s="1"/>
  <c r="V176" i="3"/>
  <c r="AE176" i="3" s="1"/>
  <c r="U176" i="3"/>
  <c r="AD176" i="3" s="1"/>
  <c r="T176" i="3"/>
  <c r="AC176" i="3" s="1"/>
  <c r="H176" i="3"/>
  <c r="Q176" i="3" s="1"/>
  <c r="X175" i="3"/>
  <c r="AG175" i="3" s="1"/>
  <c r="W175" i="3"/>
  <c r="AF175" i="3" s="1"/>
  <c r="V175" i="3"/>
  <c r="AE175" i="3" s="1"/>
  <c r="U175" i="3"/>
  <c r="AD175" i="3" s="1"/>
  <c r="T175" i="3"/>
  <c r="AC175" i="3" s="1"/>
  <c r="H175" i="3"/>
  <c r="S175" i="3" s="1"/>
  <c r="AB175" i="3" s="1"/>
  <c r="X174" i="3"/>
  <c r="AG174" i="3" s="1"/>
  <c r="W174" i="3"/>
  <c r="AF174" i="3" s="1"/>
  <c r="V174" i="3"/>
  <c r="AE174" i="3" s="1"/>
  <c r="U174" i="3"/>
  <c r="AD174" i="3" s="1"/>
  <c r="T174" i="3"/>
  <c r="AC174" i="3" s="1"/>
  <c r="H174" i="3"/>
  <c r="Q174" i="3" s="1"/>
  <c r="X173" i="3"/>
  <c r="AG173" i="3" s="1"/>
  <c r="W173" i="3"/>
  <c r="AF173" i="3" s="1"/>
  <c r="V173" i="3"/>
  <c r="AE173" i="3" s="1"/>
  <c r="U173" i="3"/>
  <c r="AD173" i="3" s="1"/>
  <c r="T173" i="3"/>
  <c r="AC173" i="3" s="1"/>
  <c r="H173" i="3"/>
  <c r="S173" i="3" s="1"/>
  <c r="AB173" i="3" s="1"/>
  <c r="X172" i="3"/>
  <c r="AG172" i="3" s="1"/>
  <c r="W172" i="3"/>
  <c r="AF172" i="3" s="1"/>
  <c r="V172" i="3"/>
  <c r="AE172" i="3" s="1"/>
  <c r="U172" i="3"/>
  <c r="AD172" i="3" s="1"/>
  <c r="T172" i="3"/>
  <c r="AC172" i="3" s="1"/>
  <c r="H172" i="3"/>
  <c r="Q172" i="3" s="1"/>
  <c r="X171" i="3"/>
  <c r="AG171" i="3" s="1"/>
  <c r="W171" i="3"/>
  <c r="AF171" i="3" s="1"/>
  <c r="V171" i="3"/>
  <c r="AE171" i="3" s="1"/>
  <c r="U171" i="3"/>
  <c r="AD171" i="3" s="1"/>
  <c r="T171" i="3"/>
  <c r="AC171" i="3" s="1"/>
  <c r="H171" i="3"/>
  <c r="S171" i="3" s="1"/>
  <c r="AB171" i="3" s="1"/>
  <c r="X170" i="3"/>
  <c r="W170" i="3"/>
  <c r="AF170" i="3" s="1"/>
  <c r="V170" i="3"/>
  <c r="AE170" i="3" s="1"/>
  <c r="U170" i="3"/>
  <c r="AD170" i="3" s="1"/>
  <c r="T170" i="3"/>
  <c r="AC170" i="3" s="1"/>
  <c r="H170" i="3"/>
  <c r="Q170" i="3" s="1"/>
  <c r="AH169" i="3"/>
  <c r="AI169" i="3" s="1"/>
  <c r="AJ169" i="3" s="1"/>
  <c r="X169" i="3"/>
  <c r="AG169" i="3" s="1"/>
  <c r="W169" i="3"/>
  <c r="AF169" i="3" s="1"/>
  <c r="V169" i="3"/>
  <c r="AE169" i="3" s="1"/>
  <c r="U169" i="3"/>
  <c r="AD169" i="3" s="1"/>
  <c r="T169" i="3"/>
  <c r="AC169" i="3" s="1"/>
  <c r="H169" i="3"/>
  <c r="Q169" i="3" s="1"/>
  <c r="X168" i="3"/>
  <c r="AG168" i="3" s="1"/>
  <c r="W168" i="3"/>
  <c r="AF168" i="3" s="1"/>
  <c r="V168" i="3"/>
  <c r="AE168" i="3" s="1"/>
  <c r="U168" i="3"/>
  <c r="AD168" i="3" s="1"/>
  <c r="T168" i="3"/>
  <c r="AC168" i="3" s="1"/>
  <c r="H168" i="3"/>
  <c r="S168" i="3" s="1"/>
  <c r="AB168" i="3" s="1"/>
  <c r="X167" i="3"/>
  <c r="AG167" i="3" s="1"/>
  <c r="W167" i="3"/>
  <c r="AF167" i="3" s="1"/>
  <c r="V167" i="3"/>
  <c r="AE167" i="3" s="1"/>
  <c r="U167" i="3"/>
  <c r="AD167" i="3" s="1"/>
  <c r="T167" i="3"/>
  <c r="AC167" i="3" s="1"/>
  <c r="H167" i="3"/>
  <c r="Q167" i="3" s="1"/>
  <c r="X166" i="3"/>
  <c r="AG166" i="3" s="1"/>
  <c r="W166" i="3"/>
  <c r="AF166" i="3" s="1"/>
  <c r="V166" i="3"/>
  <c r="AE166" i="3" s="1"/>
  <c r="U166" i="3"/>
  <c r="AD166" i="3" s="1"/>
  <c r="T166" i="3"/>
  <c r="AC166" i="3" s="1"/>
  <c r="H166" i="3"/>
  <c r="S166" i="3" s="1"/>
  <c r="AB166" i="3" s="1"/>
  <c r="X165" i="3"/>
  <c r="AG165" i="3" s="1"/>
  <c r="W165" i="3"/>
  <c r="AF165" i="3" s="1"/>
  <c r="V165" i="3"/>
  <c r="U165" i="3"/>
  <c r="T165" i="3"/>
  <c r="AC165" i="3" s="1"/>
  <c r="H165" i="3"/>
  <c r="AM164" i="3"/>
  <c r="AL164" i="3"/>
  <c r="AK164" i="3"/>
  <c r="P164" i="3"/>
  <c r="O164" i="3"/>
  <c r="N164" i="3"/>
  <c r="M164" i="3"/>
  <c r="L164" i="3"/>
  <c r="K164" i="3"/>
  <c r="J164" i="3"/>
  <c r="I164" i="3"/>
  <c r="G164" i="3"/>
  <c r="F164" i="3"/>
  <c r="E164" i="3"/>
  <c r="Y163" i="3"/>
  <c r="AH163" i="3" s="1"/>
  <c r="AI163" i="3" s="1"/>
  <c r="AJ163" i="3" s="1"/>
  <c r="X163" i="3"/>
  <c r="AG163" i="3" s="1"/>
  <c r="W163" i="3"/>
  <c r="AF163" i="3" s="1"/>
  <c r="V163" i="3"/>
  <c r="U163" i="3"/>
  <c r="AD163" i="3" s="1"/>
  <c r="T163" i="3"/>
  <c r="AC163" i="3" s="1"/>
  <c r="AC164" i="3" s="1"/>
  <c r="H163" i="3"/>
  <c r="Q163" i="3" s="1"/>
  <c r="AH162" i="3"/>
  <c r="AI162" i="3" s="1"/>
  <c r="AG162" i="3"/>
  <c r="AF162" i="3"/>
  <c r="AF164" i="3" s="1"/>
  <c r="AE162" i="3"/>
  <c r="AD162" i="3"/>
  <c r="AD164" i="3" s="1"/>
  <c r="AC162" i="3"/>
  <c r="H162" i="3"/>
  <c r="Q162" i="3" s="1"/>
  <c r="AM161" i="3"/>
  <c r="AL161" i="3"/>
  <c r="AK161" i="3"/>
  <c r="P161" i="3"/>
  <c r="O161" i="3"/>
  <c r="N161" i="3"/>
  <c r="M161" i="3"/>
  <c r="L161" i="3"/>
  <c r="K161" i="3"/>
  <c r="J161" i="3"/>
  <c r="I161" i="3"/>
  <c r="G161" i="3"/>
  <c r="F161" i="3"/>
  <c r="E161" i="3"/>
  <c r="Y160" i="3"/>
  <c r="AH160" i="3" s="1"/>
  <c r="AI160" i="3" s="1"/>
  <c r="X160" i="3"/>
  <c r="X161" i="3" s="1"/>
  <c r="W160" i="3"/>
  <c r="W161" i="3" s="1"/>
  <c r="V160" i="3"/>
  <c r="AE160" i="3" s="1"/>
  <c r="AE161" i="3" s="1"/>
  <c r="U160" i="3"/>
  <c r="AD160" i="3" s="1"/>
  <c r="AD161" i="3" s="1"/>
  <c r="T160" i="3"/>
  <c r="AC160" i="3" s="1"/>
  <c r="AC161" i="3" s="1"/>
  <c r="H160" i="3"/>
  <c r="S160" i="3" s="1"/>
  <c r="AB160" i="3" s="1"/>
  <c r="AM159" i="3"/>
  <c r="AL159" i="3"/>
  <c r="AK159" i="3"/>
  <c r="Y159" i="3"/>
  <c r="X159" i="3"/>
  <c r="W159" i="3"/>
  <c r="V159" i="3"/>
  <c r="U159" i="3"/>
  <c r="T159" i="3"/>
  <c r="S159" i="3"/>
  <c r="P159" i="3"/>
  <c r="O159" i="3"/>
  <c r="N159" i="3"/>
  <c r="M159" i="3"/>
  <c r="L159" i="3"/>
  <c r="K159" i="3"/>
  <c r="J159" i="3"/>
  <c r="I159" i="3"/>
  <c r="G159" i="3"/>
  <c r="F159" i="3"/>
  <c r="E159" i="3"/>
  <c r="AH158" i="3"/>
  <c r="AI158" i="3" s="1"/>
  <c r="AI159" i="3" s="1"/>
  <c r="AG158" i="3"/>
  <c r="AG159" i="3" s="1"/>
  <c r="AF158" i="3"/>
  <c r="AF159" i="3" s="1"/>
  <c r="AE158" i="3"/>
  <c r="AE159" i="3" s="1"/>
  <c r="AD158" i="3"/>
  <c r="AD159" i="3" s="1"/>
  <c r="AC158" i="3"/>
  <c r="AC159" i="3" s="1"/>
  <c r="AB158" i="3"/>
  <c r="Z158" i="3"/>
  <c r="Z159" i="3" s="1"/>
  <c r="H158" i="3"/>
  <c r="AM157" i="3"/>
  <c r="AL157" i="3"/>
  <c r="AK157" i="3"/>
  <c r="P157" i="3"/>
  <c r="O157" i="3"/>
  <c r="N157" i="3"/>
  <c r="M157" i="3"/>
  <c r="L157" i="3"/>
  <c r="K157" i="3"/>
  <c r="J157" i="3"/>
  <c r="I157" i="3"/>
  <c r="G157" i="3"/>
  <c r="F157" i="3"/>
  <c r="E157" i="3"/>
  <c r="Y156" i="3"/>
  <c r="AH156" i="3" s="1"/>
  <c r="X156" i="3"/>
  <c r="AG156" i="3" s="1"/>
  <c r="AG157" i="3" s="1"/>
  <c r="W156" i="3"/>
  <c r="W157" i="3" s="1"/>
  <c r="V156" i="3"/>
  <c r="AE156" i="3" s="1"/>
  <c r="AE157" i="3" s="1"/>
  <c r="U156" i="3"/>
  <c r="AD156" i="3" s="1"/>
  <c r="AD157" i="3" s="1"/>
  <c r="T156" i="3"/>
  <c r="AC156" i="3" s="1"/>
  <c r="AC157" i="3" s="1"/>
  <c r="H156" i="3"/>
  <c r="H157" i="3" s="1"/>
  <c r="AM155" i="3"/>
  <c r="AL155" i="3"/>
  <c r="AK155" i="3"/>
  <c r="T155" i="3"/>
  <c r="P155" i="3"/>
  <c r="O155" i="3"/>
  <c r="N155" i="3"/>
  <c r="M155" i="3"/>
  <c r="L155" i="3"/>
  <c r="K155" i="3"/>
  <c r="J155" i="3"/>
  <c r="I155" i="3"/>
  <c r="G155" i="3"/>
  <c r="F155" i="3"/>
  <c r="E155" i="3"/>
  <c r="Y154" i="3"/>
  <c r="AH154" i="3" s="1"/>
  <c r="AH155" i="3" s="1"/>
  <c r="X154" i="3"/>
  <c r="AG154" i="3" s="1"/>
  <c r="AG155" i="3" s="1"/>
  <c r="W154" i="3"/>
  <c r="AF154" i="3" s="1"/>
  <c r="AF155" i="3" s="1"/>
  <c r="V154" i="3"/>
  <c r="AE154" i="3" s="1"/>
  <c r="AE155" i="3" s="1"/>
  <c r="U154" i="3"/>
  <c r="U155" i="3" s="1"/>
  <c r="T154" i="3"/>
  <c r="AC154" i="3" s="1"/>
  <c r="AC155" i="3" s="1"/>
  <c r="H154" i="3"/>
  <c r="S154" i="3" s="1"/>
  <c r="S155" i="3" s="1"/>
  <c r="AM153" i="3"/>
  <c r="AL153" i="3"/>
  <c r="AK153" i="3"/>
  <c r="P153" i="3"/>
  <c r="O153" i="3"/>
  <c r="N153" i="3"/>
  <c r="M153" i="3"/>
  <c r="L153" i="3"/>
  <c r="K153" i="3"/>
  <c r="J153" i="3"/>
  <c r="I153" i="3"/>
  <c r="G153" i="3"/>
  <c r="F153" i="3"/>
  <c r="E153" i="3"/>
  <c r="X152" i="3"/>
  <c r="AG152" i="3" s="1"/>
  <c r="W152" i="3"/>
  <c r="AF152" i="3" s="1"/>
  <c r="V152" i="3"/>
  <c r="AE152" i="3" s="1"/>
  <c r="U152" i="3"/>
  <c r="AD152" i="3" s="1"/>
  <c r="T152" i="3"/>
  <c r="AC152" i="3" s="1"/>
  <c r="H152" i="3"/>
  <c r="X151" i="3"/>
  <c r="AG151" i="3" s="1"/>
  <c r="W151" i="3"/>
  <c r="AF151" i="3" s="1"/>
  <c r="V151" i="3"/>
  <c r="AE151" i="3" s="1"/>
  <c r="U151" i="3"/>
  <c r="AD151" i="3" s="1"/>
  <c r="T151" i="3"/>
  <c r="AC151" i="3" s="1"/>
  <c r="H151" i="3"/>
  <c r="S151" i="3" s="1"/>
  <c r="X150" i="3"/>
  <c r="AG150" i="3" s="1"/>
  <c r="W150" i="3"/>
  <c r="AF150" i="3" s="1"/>
  <c r="V150" i="3"/>
  <c r="AE150" i="3" s="1"/>
  <c r="U150" i="3"/>
  <c r="AD150" i="3" s="1"/>
  <c r="T150" i="3"/>
  <c r="AC150" i="3" s="1"/>
  <c r="H150" i="3"/>
  <c r="Q150" i="3" s="1"/>
  <c r="X149" i="3"/>
  <c r="AG149" i="3" s="1"/>
  <c r="W149" i="3"/>
  <c r="AF149" i="3" s="1"/>
  <c r="V149" i="3"/>
  <c r="AE149" i="3" s="1"/>
  <c r="U149" i="3"/>
  <c r="AD149" i="3" s="1"/>
  <c r="T149" i="3"/>
  <c r="AC149" i="3" s="1"/>
  <c r="H149" i="3"/>
  <c r="S149" i="3" s="1"/>
  <c r="X148" i="3"/>
  <c r="AG148" i="3" s="1"/>
  <c r="W148" i="3"/>
  <c r="AF148" i="3" s="1"/>
  <c r="V148" i="3"/>
  <c r="AE148" i="3" s="1"/>
  <c r="U148" i="3"/>
  <c r="AD148" i="3" s="1"/>
  <c r="T148" i="3"/>
  <c r="AC148" i="3" s="1"/>
  <c r="H148" i="3"/>
  <c r="Q148" i="3" s="1"/>
  <c r="X147" i="3"/>
  <c r="AG147" i="3" s="1"/>
  <c r="W147" i="3"/>
  <c r="AF147" i="3" s="1"/>
  <c r="V147" i="3"/>
  <c r="AE147" i="3" s="1"/>
  <c r="U147" i="3"/>
  <c r="AD147" i="3" s="1"/>
  <c r="T147" i="3"/>
  <c r="AC147" i="3" s="1"/>
  <c r="H147" i="3"/>
  <c r="S147" i="3" s="1"/>
  <c r="X146" i="3"/>
  <c r="AG146" i="3" s="1"/>
  <c r="W146" i="3"/>
  <c r="AF146" i="3" s="1"/>
  <c r="V146" i="3"/>
  <c r="AE146" i="3" s="1"/>
  <c r="U146" i="3"/>
  <c r="AD146" i="3" s="1"/>
  <c r="T146" i="3"/>
  <c r="AC146" i="3" s="1"/>
  <c r="H146" i="3"/>
  <c r="Q146" i="3" s="1"/>
  <c r="X145" i="3"/>
  <c r="AG145" i="3" s="1"/>
  <c r="W145" i="3"/>
  <c r="AF145" i="3" s="1"/>
  <c r="V145" i="3"/>
  <c r="AE145" i="3" s="1"/>
  <c r="U145" i="3"/>
  <c r="AD145" i="3" s="1"/>
  <c r="T145" i="3"/>
  <c r="AC145" i="3" s="1"/>
  <c r="H145" i="3"/>
  <c r="S145" i="3" s="1"/>
  <c r="X144" i="3"/>
  <c r="AG144" i="3" s="1"/>
  <c r="W144" i="3"/>
  <c r="AF144" i="3" s="1"/>
  <c r="V144" i="3"/>
  <c r="AE144" i="3" s="1"/>
  <c r="U144" i="3"/>
  <c r="AD144" i="3" s="1"/>
  <c r="T144" i="3"/>
  <c r="AC144" i="3" s="1"/>
  <c r="H144" i="3"/>
  <c r="Q144" i="3" s="1"/>
  <c r="X143" i="3"/>
  <c r="AG143" i="3" s="1"/>
  <c r="W143" i="3"/>
  <c r="AF143" i="3" s="1"/>
  <c r="V143" i="3"/>
  <c r="AE143" i="3" s="1"/>
  <c r="U143" i="3"/>
  <c r="AD143" i="3" s="1"/>
  <c r="T143" i="3"/>
  <c r="AC143" i="3" s="1"/>
  <c r="H143" i="3"/>
  <c r="S143" i="3" s="1"/>
  <c r="X142" i="3"/>
  <c r="AG142" i="3" s="1"/>
  <c r="W142" i="3"/>
  <c r="AF142" i="3" s="1"/>
  <c r="V142" i="3"/>
  <c r="AE142" i="3" s="1"/>
  <c r="U142" i="3"/>
  <c r="AD142" i="3" s="1"/>
  <c r="T142" i="3"/>
  <c r="AC142" i="3" s="1"/>
  <c r="H142" i="3"/>
  <c r="X141" i="3"/>
  <c r="AG141" i="3" s="1"/>
  <c r="W141" i="3"/>
  <c r="AF141" i="3" s="1"/>
  <c r="V141" i="3"/>
  <c r="AE141" i="3" s="1"/>
  <c r="U141" i="3"/>
  <c r="AD141" i="3" s="1"/>
  <c r="T141" i="3"/>
  <c r="AC141" i="3" s="1"/>
  <c r="H141" i="3"/>
  <c r="S141" i="3" s="1"/>
  <c r="X140" i="3"/>
  <c r="AG140" i="3" s="1"/>
  <c r="W140" i="3"/>
  <c r="AF140" i="3" s="1"/>
  <c r="V140" i="3"/>
  <c r="AE140" i="3" s="1"/>
  <c r="U140" i="3"/>
  <c r="AD140" i="3" s="1"/>
  <c r="T140" i="3"/>
  <c r="AC140" i="3" s="1"/>
  <c r="H140" i="3"/>
  <c r="Q140" i="3" s="1"/>
  <c r="X139" i="3"/>
  <c r="AG139" i="3" s="1"/>
  <c r="W139" i="3"/>
  <c r="AF139" i="3" s="1"/>
  <c r="V139" i="3"/>
  <c r="AE139" i="3" s="1"/>
  <c r="U139" i="3"/>
  <c r="AD139" i="3" s="1"/>
  <c r="T139" i="3"/>
  <c r="AC139" i="3" s="1"/>
  <c r="H139" i="3"/>
  <c r="S139" i="3" s="1"/>
  <c r="X138" i="3"/>
  <c r="AG138" i="3" s="1"/>
  <c r="W138" i="3"/>
  <c r="AF138" i="3" s="1"/>
  <c r="V138" i="3"/>
  <c r="AE138" i="3" s="1"/>
  <c r="U138" i="3"/>
  <c r="AD138" i="3" s="1"/>
  <c r="T138" i="3"/>
  <c r="AC138" i="3" s="1"/>
  <c r="H138" i="3"/>
  <c r="Q138" i="3" s="1"/>
  <c r="X137" i="3"/>
  <c r="AG137" i="3" s="1"/>
  <c r="W137" i="3"/>
  <c r="AF137" i="3" s="1"/>
  <c r="V137" i="3"/>
  <c r="AE137" i="3" s="1"/>
  <c r="U137" i="3"/>
  <c r="AD137" i="3" s="1"/>
  <c r="T137" i="3"/>
  <c r="AC137" i="3" s="1"/>
  <c r="H137" i="3"/>
  <c r="S137" i="3" s="1"/>
  <c r="X136" i="3"/>
  <c r="AG136" i="3" s="1"/>
  <c r="W136" i="3"/>
  <c r="AF136" i="3" s="1"/>
  <c r="V136" i="3"/>
  <c r="AE136" i="3" s="1"/>
  <c r="U136" i="3"/>
  <c r="AD136" i="3" s="1"/>
  <c r="T136" i="3"/>
  <c r="AC136" i="3" s="1"/>
  <c r="H136" i="3"/>
  <c r="X135" i="3"/>
  <c r="AG135" i="3" s="1"/>
  <c r="W135" i="3"/>
  <c r="AF135" i="3" s="1"/>
  <c r="V135" i="3"/>
  <c r="AE135" i="3" s="1"/>
  <c r="U135" i="3"/>
  <c r="AD135" i="3" s="1"/>
  <c r="T135" i="3"/>
  <c r="AC135" i="3" s="1"/>
  <c r="H135" i="3"/>
  <c r="S135" i="3" s="1"/>
  <c r="X134" i="3"/>
  <c r="AG134" i="3" s="1"/>
  <c r="W134" i="3"/>
  <c r="AF134" i="3" s="1"/>
  <c r="V134" i="3"/>
  <c r="AE134" i="3" s="1"/>
  <c r="U134" i="3"/>
  <c r="AD134" i="3" s="1"/>
  <c r="T134" i="3"/>
  <c r="AC134" i="3" s="1"/>
  <c r="H134" i="3"/>
  <c r="AM133" i="3"/>
  <c r="AL133" i="3"/>
  <c r="AK133" i="3"/>
  <c r="P133" i="3"/>
  <c r="O133" i="3"/>
  <c r="N133" i="3"/>
  <c r="M133" i="3"/>
  <c r="L133" i="3"/>
  <c r="K133" i="3"/>
  <c r="J133" i="3"/>
  <c r="I133" i="3"/>
  <c r="G133" i="3"/>
  <c r="F133" i="3"/>
  <c r="E133" i="3"/>
  <c r="X132" i="3"/>
  <c r="AG132" i="3" s="1"/>
  <c r="W132" i="3"/>
  <c r="AF132" i="3" s="1"/>
  <c r="V132" i="3"/>
  <c r="AE132" i="3" s="1"/>
  <c r="U132" i="3"/>
  <c r="AD132" i="3" s="1"/>
  <c r="T132" i="3"/>
  <c r="AC132" i="3" s="1"/>
  <c r="H132" i="3"/>
  <c r="X131" i="3"/>
  <c r="AG131" i="3" s="1"/>
  <c r="W131" i="3"/>
  <c r="AF131" i="3" s="1"/>
  <c r="V131" i="3"/>
  <c r="AE131" i="3" s="1"/>
  <c r="U131" i="3"/>
  <c r="AD131" i="3" s="1"/>
  <c r="T131" i="3"/>
  <c r="AC131" i="3" s="1"/>
  <c r="H131" i="3"/>
  <c r="AD130" i="3"/>
  <c r="X130" i="3"/>
  <c r="AG130" i="3" s="1"/>
  <c r="W130" i="3"/>
  <c r="AF130" i="3" s="1"/>
  <c r="V130" i="3"/>
  <c r="U130" i="3"/>
  <c r="T130" i="3"/>
  <c r="AC130" i="3" s="1"/>
  <c r="H130" i="3"/>
  <c r="Q130" i="3" s="1"/>
  <c r="X129" i="3"/>
  <c r="AG129" i="3" s="1"/>
  <c r="W129" i="3"/>
  <c r="AF129" i="3" s="1"/>
  <c r="V129" i="3"/>
  <c r="AE129" i="3" s="1"/>
  <c r="U129" i="3"/>
  <c r="AD129" i="3" s="1"/>
  <c r="T129" i="3"/>
  <c r="AC129" i="3" s="1"/>
  <c r="H129" i="3"/>
  <c r="X128" i="3"/>
  <c r="AG128" i="3" s="1"/>
  <c r="W128" i="3"/>
  <c r="AF128" i="3" s="1"/>
  <c r="V128" i="3"/>
  <c r="AE128" i="3" s="1"/>
  <c r="U128" i="3"/>
  <c r="AD128" i="3" s="1"/>
  <c r="T128" i="3"/>
  <c r="AC128" i="3" s="1"/>
  <c r="H128" i="3"/>
  <c r="S128" i="3" s="1"/>
  <c r="AB128" i="3" s="1"/>
  <c r="X127" i="3"/>
  <c r="AG127" i="3" s="1"/>
  <c r="W127" i="3"/>
  <c r="AF127" i="3" s="1"/>
  <c r="V127" i="3"/>
  <c r="AE127" i="3" s="1"/>
  <c r="U127" i="3"/>
  <c r="AD127" i="3" s="1"/>
  <c r="T127" i="3"/>
  <c r="AC127" i="3" s="1"/>
  <c r="H127" i="3"/>
  <c r="X126" i="3"/>
  <c r="AG126" i="3" s="1"/>
  <c r="W126" i="3"/>
  <c r="AF126" i="3" s="1"/>
  <c r="V126" i="3"/>
  <c r="AE126" i="3" s="1"/>
  <c r="U126" i="3"/>
  <c r="AD126" i="3" s="1"/>
  <c r="T126" i="3"/>
  <c r="AC126" i="3" s="1"/>
  <c r="H126" i="3"/>
  <c r="S126" i="3" s="1"/>
  <c r="AB126" i="3" s="1"/>
  <c r="X125" i="3"/>
  <c r="AG125" i="3" s="1"/>
  <c r="W125" i="3"/>
  <c r="AF125" i="3" s="1"/>
  <c r="V125" i="3"/>
  <c r="AE125" i="3" s="1"/>
  <c r="U125" i="3"/>
  <c r="AD125" i="3" s="1"/>
  <c r="T125" i="3"/>
  <c r="AC125" i="3" s="1"/>
  <c r="H125" i="3"/>
  <c r="X124" i="3"/>
  <c r="AG124" i="3" s="1"/>
  <c r="W124" i="3"/>
  <c r="AF124" i="3" s="1"/>
  <c r="V124" i="3"/>
  <c r="AE124" i="3" s="1"/>
  <c r="U124" i="3"/>
  <c r="AD124" i="3" s="1"/>
  <c r="T124" i="3"/>
  <c r="AC124" i="3" s="1"/>
  <c r="H124" i="3"/>
  <c r="S124" i="3" s="1"/>
  <c r="AB124" i="3" s="1"/>
  <c r="X123" i="3"/>
  <c r="AG123" i="3" s="1"/>
  <c r="W123" i="3"/>
  <c r="AF123" i="3" s="1"/>
  <c r="V123" i="3"/>
  <c r="AE123" i="3" s="1"/>
  <c r="U123" i="3"/>
  <c r="AD123" i="3" s="1"/>
  <c r="T123" i="3"/>
  <c r="AC123" i="3" s="1"/>
  <c r="H123" i="3"/>
  <c r="X122" i="3"/>
  <c r="AG122" i="3" s="1"/>
  <c r="W122" i="3"/>
  <c r="AF122" i="3" s="1"/>
  <c r="V122" i="3"/>
  <c r="AE122" i="3" s="1"/>
  <c r="U122" i="3"/>
  <c r="AD122" i="3" s="1"/>
  <c r="T122" i="3"/>
  <c r="AC122" i="3" s="1"/>
  <c r="H122" i="3"/>
  <c r="X121" i="3"/>
  <c r="AG121" i="3" s="1"/>
  <c r="W121" i="3"/>
  <c r="AF121" i="3" s="1"/>
  <c r="V121" i="3"/>
  <c r="AE121" i="3" s="1"/>
  <c r="U121" i="3"/>
  <c r="AD121" i="3" s="1"/>
  <c r="T121" i="3"/>
  <c r="AC121" i="3" s="1"/>
  <c r="H121" i="3"/>
  <c r="X120" i="3"/>
  <c r="AG120" i="3" s="1"/>
  <c r="W120" i="3"/>
  <c r="AF120" i="3" s="1"/>
  <c r="V120" i="3"/>
  <c r="AE120" i="3" s="1"/>
  <c r="U120" i="3"/>
  <c r="AD120" i="3" s="1"/>
  <c r="T120" i="3"/>
  <c r="AC120" i="3" s="1"/>
  <c r="H120" i="3"/>
  <c r="S120" i="3" s="1"/>
  <c r="AB120" i="3" s="1"/>
  <c r="X119" i="3"/>
  <c r="AG119" i="3" s="1"/>
  <c r="W119" i="3"/>
  <c r="AF119" i="3" s="1"/>
  <c r="V119" i="3"/>
  <c r="AE119" i="3" s="1"/>
  <c r="U119" i="3"/>
  <c r="AD119" i="3" s="1"/>
  <c r="T119" i="3"/>
  <c r="AC119" i="3" s="1"/>
  <c r="H119" i="3"/>
  <c r="X118" i="3"/>
  <c r="AG118" i="3" s="1"/>
  <c r="W118" i="3"/>
  <c r="AF118" i="3" s="1"/>
  <c r="V118" i="3"/>
  <c r="AE118" i="3" s="1"/>
  <c r="U118" i="3"/>
  <c r="AD118" i="3" s="1"/>
  <c r="T118" i="3"/>
  <c r="AC118" i="3" s="1"/>
  <c r="H118" i="3"/>
  <c r="S118" i="3" s="1"/>
  <c r="AB118" i="3" s="1"/>
  <c r="X117" i="3"/>
  <c r="AG117" i="3" s="1"/>
  <c r="W117" i="3"/>
  <c r="AF117" i="3" s="1"/>
  <c r="V117" i="3"/>
  <c r="AE117" i="3" s="1"/>
  <c r="U117" i="3"/>
  <c r="AD117" i="3" s="1"/>
  <c r="T117" i="3"/>
  <c r="AC117" i="3" s="1"/>
  <c r="H117" i="3"/>
  <c r="X116" i="3"/>
  <c r="AG116" i="3" s="1"/>
  <c r="W116" i="3"/>
  <c r="AF116" i="3" s="1"/>
  <c r="V116" i="3"/>
  <c r="AE116" i="3" s="1"/>
  <c r="U116" i="3"/>
  <c r="AD116" i="3" s="1"/>
  <c r="T116" i="3"/>
  <c r="AC116" i="3" s="1"/>
  <c r="H116" i="3"/>
  <c r="S116" i="3" s="1"/>
  <c r="AB116" i="3" s="1"/>
  <c r="X115" i="3"/>
  <c r="AG115" i="3" s="1"/>
  <c r="W115" i="3"/>
  <c r="AF115" i="3" s="1"/>
  <c r="V115" i="3"/>
  <c r="AE115" i="3" s="1"/>
  <c r="U115" i="3"/>
  <c r="AD115" i="3" s="1"/>
  <c r="T115" i="3"/>
  <c r="AC115" i="3" s="1"/>
  <c r="H115" i="3"/>
  <c r="X114" i="3"/>
  <c r="AG114" i="3" s="1"/>
  <c r="W114" i="3"/>
  <c r="AF114" i="3" s="1"/>
  <c r="V114" i="3"/>
  <c r="AE114" i="3" s="1"/>
  <c r="U114" i="3"/>
  <c r="T114" i="3"/>
  <c r="AC114" i="3" s="1"/>
  <c r="H114" i="3"/>
  <c r="S114" i="3" s="1"/>
  <c r="AB114" i="3" s="1"/>
  <c r="X113" i="3"/>
  <c r="AG113" i="3" s="1"/>
  <c r="W113" i="3"/>
  <c r="AF113" i="3" s="1"/>
  <c r="V113" i="3"/>
  <c r="AE113" i="3" s="1"/>
  <c r="U113" i="3"/>
  <c r="AD113" i="3" s="1"/>
  <c r="T113" i="3"/>
  <c r="AC113" i="3" s="1"/>
  <c r="H113" i="3"/>
  <c r="X112" i="3"/>
  <c r="AG112" i="3" s="1"/>
  <c r="W112" i="3"/>
  <c r="AF112" i="3" s="1"/>
  <c r="V112" i="3"/>
  <c r="AE112" i="3" s="1"/>
  <c r="U112" i="3"/>
  <c r="AD112" i="3" s="1"/>
  <c r="T112" i="3"/>
  <c r="AC112" i="3" s="1"/>
  <c r="H112" i="3"/>
  <c r="S112" i="3" s="1"/>
  <c r="AB112" i="3" s="1"/>
  <c r="X111" i="3"/>
  <c r="AG111" i="3" s="1"/>
  <c r="W111" i="3"/>
  <c r="AF111" i="3" s="1"/>
  <c r="V111" i="3"/>
  <c r="AE111" i="3" s="1"/>
  <c r="U111" i="3"/>
  <c r="AD111" i="3" s="1"/>
  <c r="T111" i="3"/>
  <c r="AC111" i="3" s="1"/>
  <c r="H111" i="3"/>
  <c r="X110" i="3"/>
  <c r="AG110" i="3" s="1"/>
  <c r="W110" i="3"/>
  <c r="AF110" i="3" s="1"/>
  <c r="V110" i="3"/>
  <c r="AE110" i="3" s="1"/>
  <c r="U110" i="3"/>
  <c r="AD110" i="3" s="1"/>
  <c r="T110" i="3"/>
  <c r="AC110" i="3" s="1"/>
  <c r="H110" i="3"/>
  <c r="X109" i="3"/>
  <c r="AG109" i="3" s="1"/>
  <c r="W109" i="3"/>
  <c r="AF109" i="3" s="1"/>
  <c r="V109" i="3"/>
  <c r="AE109" i="3" s="1"/>
  <c r="U109" i="3"/>
  <c r="AD109" i="3" s="1"/>
  <c r="T109" i="3"/>
  <c r="AC109" i="3" s="1"/>
  <c r="H109" i="3"/>
  <c r="X108" i="3"/>
  <c r="AG108" i="3" s="1"/>
  <c r="W108" i="3"/>
  <c r="AF108" i="3" s="1"/>
  <c r="V108" i="3"/>
  <c r="AE108" i="3" s="1"/>
  <c r="U108" i="3"/>
  <c r="AD108" i="3" s="1"/>
  <c r="T108" i="3"/>
  <c r="AC108" i="3" s="1"/>
  <c r="H108" i="3"/>
  <c r="S108" i="3" s="1"/>
  <c r="AB108" i="3" s="1"/>
  <c r="X107" i="3"/>
  <c r="AG107" i="3" s="1"/>
  <c r="W107" i="3"/>
  <c r="AF107" i="3" s="1"/>
  <c r="V107" i="3"/>
  <c r="AE107" i="3" s="1"/>
  <c r="U107" i="3"/>
  <c r="AD107" i="3" s="1"/>
  <c r="T107" i="3"/>
  <c r="AC107" i="3" s="1"/>
  <c r="H107" i="3"/>
  <c r="X106" i="3"/>
  <c r="AG106" i="3" s="1"/>
  <c r="W106" i="3"/>
  <c r="AF106" i="3" s="1"/>
  <c r="V106" i="3"/>
  <c r="AE106" i="3" s="1"/>
  <c r="U106" i="3"/>
  <c r="AD106" i="3" s="1"/>
  <c r="T106" i="3"/>
  <c r="AC106" i="3" s="1"/>
  <c r="H106" i="3"/>
  <c r="X105" i="3"/>
  <c r="AG105" i="3" s="1"/>
  <c r="W105" i="3"/>
  <c r="AF105" i="3" s="1"/>
  <c r="V105" i="3"/>
  <c r="AE105" i="3" s="1"/>
  <c r="U105" i="3"/>
  <c r="AD105" i="3" s="1"/>
  <c r="T105" i="3"/>
  <c r="AC105" i="3" s="1"/>
  <c r="H105" i="3"/>
  <c r="X104" i="3"/>
  <c r="AG104" i="3" s="1"/>
  <c r="W104" i="3"/>
  <c r="AF104" i="3" s="1"/>
  <c r="V104" i="3"/>
  <c r="AE104" i="3" s="1"/>
  <c r="U104" i="3"/>
  <c r="AD104" i="3" s="1"/>
  <c r="T104" i="3"/>
  <c r="AC104" i="3" s="1"/>
  <c r="H104" i="3"/>
  <c r="S104" i="3" s="1"/>
  <c r="AB104" i="3" s="1"/>
  <c r="X103" i="3"/>
  <c r="AG103" i="3" s="1"/>
  <c r="W103" i="3"/>
  <c r="AF103" i="3" s="1"/>
  <c r="V103" i="3"/>
  <c r="AE103" i="3" s="1"/>
  <c r="U103" i="3"/>
  <c r="AD103" i="3" s="1"/>
  <c r="T103" i="3"/>
  <c r="AC103" i="3" s="1"/>
  <c r="H103" i="3"/>
  <c r="X102" i="3"/>
  <c r="AG102" i="3" s="1"/>
  <c r="W102" i="3"/>
  <c r="AF102" i="3" s="1"/>
  <c r="V102" i="3"/>
  <c r="AE102" i="3" s="1"/>
  <c r="U102" i="3"/>
  <c r="AD102" i="3" s="1"/>
  <c r="T102" i="3"/>
  <c r="AC102" i="3" s="1"/>
  <c r="H102" i="3"/>
  <c r="S102" i="3" s="1"/>
  <c r="X101" i="3"/>
  <c r="AG101" i="3" s="1"/>
  <c r="W101" i="3"/>
  <c r="AF101" i="3" s="1"/>
  <c r="V101" i="3"/>
  <c r="AE101" i="3" s="1"/>
  <c r="U101" i="3"/>
  <c r="AD101" i="3" s="1"/>
  <c r="T101" i="3"/>
  <c r="AC101" i="3" s="1"/>
  <c r="H101" i="3"/>
  <c r="X100" i="3"/>
  <c r="AG100" i="3" s="1"/>
  <c r="W100" i="3"/>
  <c r="AF100" i="3" s="1"/>
  <c r="V100" i="3"/>
  <c r="AE100" i="3" s="1"/>
  <c r="U100" i="3"/>
  <c r="AD100" i="3" s="1"/>
  <c r="T100" i="3"/>
  <c r="AC100" i="3" s="1"/>
  <c r="H100" i="3"/>
  <c r="Q100" i="3" s="1"/>
  <c r="X99" i="3"/>
  <c r="AG99" i="3" s="1"/>
  <c r="W99" i="3"/>
  <c r="AF99" i="3" s="1"/>
  <c r="V99" i="3"/>
  <c r="AE99" i="3" s="1"/>
  <c r="U99" i="3"/>
  <c r="AD99" i="3" s="1"/>
  <c r="T99" i="3"/>
  <c r="AC99" i="3" s="1"/>
  <c r="H99" i="3"/>
  <c r="X98" i="3"/>
  <c r="AG98" i="3" s="1"/>
  <c r="W98" i="3"/>
  <c r="AF98" i="3" s="1"/>
  <c r="V98" i="3"/>
  <c r="AE98" i="3" s="1"/>
  <c r="U98" i="3"/>
  <c r="AD98" i="3" s="1"/>
  <c r="T98" i="3"/>
  <c r="AC98" i="3" s="1"/>
  <c r="H98" i="3"/>
  <c r="Q98" i="3" s="1"/>
  <c r="X97" i="3"/>
  <c r="AG97" i="3" s="1"/>
  <c r="W97" i="3"/>
  <c r="AF97" i="3" s="1"/>
  <c r="V97" i="3"/>
  <c r="AE97" i="3" s="1"/>
  <c r="U97" i="3"/>
  <c r="AD97" i="3" s="1"/>
  <c r="T97" i="3"/>
  <c r="AC97" i="3" s="1"/>
  <c r="H97" i="3"/>
  <c r="X96" i="3"/>
  <c r="AG96" i="3" s="1"/>
  <c r="W96" i="3"/>
  <c r="AF96" i="3" s="1"/>
  <c r="V96" i="3"/>
  <c r="AE96" i="3" s="1"/>
  <c r="U96" i="3"/>
  <c r="AD96" i="3" s="1"/>
  <c r="T96" i="3"/>
  <c r="AC96" i="3" s="1"/>
  <c r="H96" i="3"/>
  <c r="S96" i="3" s="1"/>
  <c r="AB96" i="3" s="1"/>
  <c r="X95" i="3"/>
  <c r="AG95" i="3" s="1"/>
  <c r="W95" i="3"/>
  <c r="AF95" i="3" s="1"/>
  <c r="V95" i="3"/>
  <c r="AE95" i="3" s="1"/>
  <c r="U95" i="3"/>
  <c r="AD95" i="3" s="1"/>
  <c r="T95" i="3"/>
  <c r="AC95" i="3" s="1"/>
  <c r="H95" i="3"/>
  <c r="X94" i="3"/>
  <c r="AG94" i="3" s="1"/>
  <c r="W94" i="3"/>
  <c r="AF94" i="3" s="1"/>
  <c r="V94" i="3"/>
  <c r="AE94" i="3" s="1"/>
  <c r="U94" i="3"/>
  <c r="AD94" i="3" s="1"/>
  <c r="T94" i="3"/>
  <c r="AC94" i="3" s="1"/>
  <c r="H94" i="3"/>
  <c r="S94" i="3" s="1"/>
  <c r="AB94" i="3" s="1"/>
  <c r="X93" i="3"/>
  <c r="AG93" i="3" s="1"/>
  <c r="W93" i="3"/>
  <c r="AF93" i="3" s="1"/>
  <c r="V93" i="3"/>
  <c r="AE93" i="3" s="1"/>
  <c r="U93" i="3"/>
  <c r="AD93" i="3" s="1"/>
  <c r="T93" i="3"/>
  <c r="AC93" i="3" s="1"/>
  <c r="H93" i="3"/>
  <c r="X92" i="3"/>
  <c r="AG92" i="3" s="1"/>
  <c r="W92" i="3"/>
  <c r="AF92" i="3" s="1"/>
  <c r="V92" i="3"/>
  <c r="AE92" i="3" s="1"/>
  <c r="U92" i="3"/>
  <c r="AD92" i="3" s="1"/>
  <c r="T92" i="3"/>
  <c r="AC92" i="3" s="1"/>
  <c r="H92" i="3"/>
  <c r="X91" i="3"/>
  <c r="AG91" i="3" s="1"/>
  <c r="W91" i="3"/>
  <c r="AF91" i="3" s="1"/>
  <c r="V91" i="3"/>
  <c r="AE91" i="3" s="1"/>
  <c r="U91" i="3"/>
  <c r="AD91" i="3" s="1"/>
  <c r="T91" i="3"/>
  <c r="AC91" i="3" s="1"/>
  <c r="H91" i="3"/>
  <c r="X90" i="3"/>
  <c r="AG90" i="3" s="1"/>
  <c r="W90" i="3"/>
  <c r="AF90" i="3" s="1"/>
  <c r="V90" i="3"/>
  <c r="AE90" i="3" s="1"/>
  <c r="U90" i="3"/>
  <c r="AD90" i="3" s="1"/>
  <c r="T90" i="3"/>
  <c r="AC90" i="3" s="1"/>
  <c r="H90" i="3"/>
  <c r="S90" i="3" s="1"/>
  <c r="AB90" i="3" s="1"/>
  <c r="X89" i="3"/>
  <c r="AG89" i="3" s="1"/>
  <c r="W89" i="3"/>
  <c r="AF89" i="3" s="1"/>
  <c r="V89" i="3"/>
  <c r="AE89" i="3" s="1"/>
  <c r="U89" i="3"/>
  <c r="AD89" i="3" s="1"/>
  <c r="T89" i="3"/>
  <c r="AC89" i="3" s="1"/>
  <c r="H89" i="3"/>
  <c r="X88" i="3"/>
  <c r="AG88" i="3" s="1"/>
  <c r="W88" i="3"/>
  <c r="AF88" i="3" s="1"/>
  <c r="V88" i="3"/>
  <c r="AE88" i="3" s="1"/>
  <c r="U88" i="3"/>
  <c r="AD88" i="3" s="1"/>
  <c r="T88" i="3"/>
  <c r="AC88" i="3" s="1"/>
  <c r="H88" i="3"/>
  <c r="Q88" i="3" s="1"/>
  <c r="X87" i="3"/>
  <c r="AG87" i="3" s="1"/>
  <c r="W87" i="3"/>
  <c r="AF87" i="3" s="1"/>
  <c r="V87" i="3"/>
  <c r="AE87" i="3" s="1"/>
  <c r="U87" i="3"/>
  <c r="AD87" i="3" s="1"/>
  <c r="T87" i="3"/>
  <c r="AC87" i="3" s="1"/>
  <c r="H87" i="3"/>
  <c r="X86" i="3"/>
  <c r="AG86" i="3" s="1"/>
  <c r="W86" i="3"/>
  <c r="AF86" i="3" s="1"/>
  <c r="V86" i="3"/>
  <c r="AE86" i="3" s="1"/>
  <c r="U86" i="3"/>
  <c r="AD86" i="3" s="1"/>
  <c r="T86" i="3"/>
  <c r="AC86" i="3" s="1"/>
  <c r="H86" i="3"/>
  <c r="S86" i="3" s="1"/>
  <c r="X85" i="3"/>
  <c r="AG85" i="3" s="1"/>
  <c r="W85" i="3"/>
  <c r="AF85" i="3" s="1"/>
  <c r="V85" i="3"/>
  <c r="AE85" i="3" s="1"/>
  <c r="U85" i="3"/>
  <c r="AD85" i="3" s="1"/>
  <c r="T85" i="3"/>
  <c r="AC85" i="3" s="1"/>
  <c r="H85" i="3"/>
  <c r="X84" i="3"/>
  <c r="AG84" i="3" s="1"/>
  <c r="W84" i="3"/>
  <c r="AF84" i="3" s="1"/>
  <c r="V84" i="3"/>
  <c r="AE84" i="3" s="1"/>
  <c r="U84" i="3"/>
  <c r="AD84" i="3" s="1"/>
  <c r="T84" i="3"/>
  <c r="AC84" i="3" s="1"/>
  <c r="H84" i="3"/>
  <c r="Q84" i="3" s="1"/>
  <c r="X83" i="3"/>
  <c r="AG83" i="3" s="1"/>
  <c r="W83" i="3"/>
  <c r="V83" i="3"/>
  <c r="AE83" i="3" s="1"/>
  <c r="U83" i="3"/>
  <c r="AD83" i="3" s="1"/>
  <c r="T83" i="3"/>
  <c r="AC83" i="3" s="1"/>
  <c r="H83" i="3"/>
  <c r="X82" i="3"/>
  <c r="W82" i="3"/>
  <c r="AF82" i="3" s="1"/>
  <c r="V82" i="3"/>
  <c r="U82" i="3"/>
  <c r="AD82" i="3" s="1"/>
  <c r="T82" i="3"/>
  <c r="H82" i="3"/>
  <c r="Q82" i="3" s="1"/>
  <c r="AM81" i="3"/>
  <c r="AL81" i="3"/>
  <c r="AK81" i="3"/>
  <c r="AJ81" i="3"/>
  <c r="AI81" i="3"/>
  <c r="AH81" i="3"/>
  <c r="AG81" i="3"/>
  <c r="AF81" i="3"/>
  <c r="AE81" i="3"/>
  <c r="AC81" i="3"/>
  <c r="AB81" i="3"/>
  <c r="P81" i="3"/>
  <c r="O81" i="3"/>
  <c r="N81" i="3"/>
  <c r="M81" i="3"/>
  <c r="L81" i="3"/>
  <c r="K81" i="3"/>
  <c r="J81" i="3"/>
  <c r="I81" i="3"/>
  <c r="G81" i="3"/>
  <c r="F81" i="3"/>
  <c r="E81" i="3"/>
  <c r="Y80" i="3"/>
  <c r="X80" i="3"/>
  <c r="W80" i="3"/>
  <c r="V80" i="3"/>
  <c r="U80" i="3"/>
  <c r="T80" i="3"/>
  <c r="H80" i="3"/>
  <c r="S80" i="3" s="1"/>
  <c r="Y79" i="3"/>
  <c r="Y81" i="3" s="1"/>
  <c r="X79" i="3"/>
  <c r="W79" i="3"/>
  <c r="V79" i="3"/>
  <c r="V81" i="3" s="1"/>
  <c r="U79" i="3"/>
  <c r="T79" i="3"/>
  <c r="H79" i="3"/>
  <c r="H81" i="3" s="1"/>
  <c r="AL78" i="3"/>
  <c r="AK78" i="3"/>
  <c r="AJ78" i="3"/>
  <c r="AI78" i="3"/>
  <c r="AH78" i="3"/>
  <c r="AF78" i="3"/>
  <c r="AE78" i="3"/>
  <c r="AD78" i="3"/>
  <c r="AC78" i="3"/>
  <c r="AB78" i="3"/>
  <c r="P78" i="3"/>
  <c r="O78" i="3"/>
  <c r="N78" i="3"/>
  <c r="M78" i="3"/>
  <c r="L78" i="3"/>
  <c r="K78" i="3"/>
  <c r="J78" i="3"/>
  <c r="I78" i="3"/>
  <c r="G78" i="3"/>
  <c r="F78" i="3"/>
  <c r="E78" i="3"/>
  <c r="Y77" i="3"/>
  <c r="X77" i="3"/>
  <c r="W77" i="3"/>
  <c r="V77" i="3"/>
  <c r="U77" i="3"/>
  <c r="T77" i="3"/>
  <c r="H77" i="3"/>
  <c r="Y76" i="3"/>
  <c r="X76" i="3"/>
  <c r="W76" i="3"/>
  <c r="V76" i="3"/>
  <c r="U76" i="3"/>
  <c r="T76" i="3"/>
  <c r="H76" i="3"/>
  <c r="S76" i="3" s="1"/>
  <c r="Y75" i="3"/>
  <c r="X75" i="3"/>
  <c r="W75" i="3"/>
  <c r="V75" i="3"/>
  <c r="U75" i="3"/>
  <c r="T75" i="3"/>
  <c r="H75" i="3"/>
  <c r="Q75" i="3" s="1"/>
  <c r="Y74" i="3"/>
  <c r="X74" i="3"/>
  <c r="W74" i="3"/>
  <c r="V74" i="3"/>
  <c r="U74" i="3"/>
  <c r="T74" i="3"/>
  <c r="H74" i="3"/>
  <c r="S74" i="3" s="1"/>
  <c r="Y73" i="3"/>
  <c r="X73" i="3"/>
  <c r="W73" i="3"/>
  <c r="V73" i="3"/>
  <c r="U73" i="3"/>
  <c r="T73" i="3"/>
  <c r="H73" i="3"/>
  <c r="S73" i="3" s="1"/>
  <c r="Y72" i="3"/>
  <c r="X72" i="3"/>
  <c r="W72" i="3"/>
  <c r="V72" i="3"/>
  <c r="U72" i="3"/>
  <c r="T72" i="3"/>
  <c r="H72" i="3"/>
  <c r="S72" i="3" s="1"/>
  <c r="Y71" i="3"/>
  <c r="X71" i="3"/>
  <c r="W71" i="3"/>
  <c r="V71" i="3"/>
  <c r="U71" i="3"/>
  <c r="T71" i="3"/>
  <c r="H71" i="3"/>
  <c r="Q71" i="3" s="1"/>
  <c r="Y70" i="3"/>
  <c r="X70" i="3"/>
  <c r="W70" i="3"/>
  <c r="V70" i="3"/>
  <c r="U70" i="3"/>
  <c r="T70" i="3"/>
  <c r="H70" i="3"/>
  <c r="S70" i="3" s="1"/>
  <c r="Y69" i="3"/>
  <c r="X69" i="3"/>
  <c r="W69" i="3"/>
  <c r="V69" i="3"/>
  <c r="U69" i="3"/>
  <c r="T69" i="3"/>
  <c r="H69" i="3"/>
  <c r="Y68" i="3"/>
  <c r="X68" i="3"/>
  <c r="W68" i="3"/>
  <c r="V68" i="3"/>
  <c r="U68" i="3"/>
  <c r="T68" i="3"/>
  <c r="H68" i="3"/>
  <c r="Q68" i="3" s="1"/>
  <c r="Y67" i="3"/>
  <c r="X67" i="3"/>
  <c r="W67" i="3"/>
  <c r="V67" i="3"/>
  <c r="U67" i="3"/>
  <c r="T67" i="3"/>
  <c r="H67" i="3"/>
  <c r="Q67" i="3" s="1"/>
  <c r="Y66" i="3"/>
  <c r="X66" i="3"/>
  <c r="W66" i="3"/>
  <c r="V66" i="3"/>
  <c r="U66" i="3"/>
  <c r="T66" i="3"/>
  <c r="H66" i="3"/>
  <c r="S66" i="3" s="1"/>
  <c r="Y65" i="3"/>
  <c r="X65" i="3"/>
  <c r="W65" i="3"/>
  <c r="V65" i="3"/>
  <c r="U65" i="3"/>
  <c r="T65" i="3"/>
  <c r="H65" i="3"/>
  <c r="S65" i="3" s="1"/>
  <c r="Y64" i="3"/>
  <c r="X64" i="3"/>
  <c r="W64" i="3"/>
  <c r="V64" i="3"/>
  <c r="U64" i="3"/>
  <c r="T64" i="3"/>
  <c r="H64" i="3"/>
  <c r="S64" i="3" s="1"/>
  <c r="Y63" i="3"/>
  <c r="X63" i="3"/>
  <c r="W63" i="3"/>
  <c r="V63" i="3"/>
  <c r="U63" i="3"/>
  <c r="T63" i="3"/>
  <c r="H63" i="3"/>
  <c r="S63" i="3" s="1"/>
  <c r="AM62" i="3"/>
  <c r="AL62" i="3"/>
  <c r="AK62" i="3"/>
  <c r="P62" i="3"/>
  <c r="O62" i="3"/>
  <c r="N62" i="3"/>
  <c r="M62" i="3"/>
  <c r="L62" i="3"/>
  <c r="K62" i="3"/>
  <c r="J62" i="3"/>
  <c r="I62" i="3"/>
  <c r="G62" i="3"/>
  <c r="F62" i="3"/>
  <c r="E62" i="3"/>
  <c r="X61" i="3"/>
  <c r="AG61" i="3" s="1"/>
  <c r="W61" i="3"/>
  <c r="AF61" i="3" s="1"/>
  <c r="V61" i="3"/>
  <c r="AE61" i="3" s="1"/>
  <c r="U61" i="3"/>
  <c r="AD61" i="3" s="1"/>
  <c r="T61" i="3"/>
  <c r="AC61" i="3" s="1"/>
  <c r="H61" i="3"/>
  <c r="S61" i="3" s="1"/>
  <c r="X60" i="3"/>
  <c r="AG60" i="3" s="1"/>
  <c r="W60" i="3"/>
  <c r="AF60" i="3" s="1"/>
  <c r="V60" i="3"/>
  <c r="AE60" i="3" s="1"/>
  <c r="U60" i="3"/>
  <c r="AD60" i="3" s="1"/>
  <c r="T60" i="3"/>
  <c r="AC60" i="3" s="1"/>
  <c r="H60" i="3"/>
  <c r="S60" i="3" s="1"/>
  <c r="AB60" i="3" s="1"/>
  <c r="X59" i="3"/>
  <c r="AG59" i="3" s="1"/>
  <c r="W59" i="3"/>
  <c r="AF59" i="3" s="1"/>
  <c r="V59" i="3"/>
  <c r="AE59" i="3" s="1"/>
  <c r="U59" i="3"/>
  <c r="AD59" i="3" s="1"/>
  <c r="T59" i="3"/>
  <c r="AC59" i="3" s="1"/>
  <c r="H59" i="3"/>
  <c r="S59" i="3" s="1"/>
  <c r="X58" i="3"/>
  <c r="AG58" i="3" s="1"/>
  <c r="W58" i="3"/>
  <c r="AF58" i="3" s="1"/>
  <c r="V58" i="3"/>
  <c r="AE58" i="3" s="1"/>
  <c r="U58" i="3"/>
  <c r="AD58" i="3" s="1"/>
  <c r="T58" i="3"/>
  <c r="AC58" i="3" s="1"/>
  <c r="H58" i="3"/>
  <c r="S58" i="3" s="1"/>
  <c r="AB58" i="3" s="1"/>
  <c r="X57" i="3"/>
  <c r="AG57" i="3" s="1"/>
  <c r="W57" i="3"/>
  <c r="AF57" i="3" s="1"/>
  <c r="V57" i="3"/>
  <c r="AE57" i="3" s="1"/>
  <c r="U57" i="3"/>
  <c r="AD57" i="3" s="1"/>
  <c r="T57" i="3"/>
  <c r="AC57" i="3" s="1"/>
  <c r="H57" i="3"/>
  <c r="S57" i="3" s="1"/>
  <c r="X56" i="3"/>
  <c r="AG56" i="3" s="1"/>
  <c r="W56" i="3"/>
  <c r="AF56" i="3" s="1"/>
  <c r="V56" i="3"/>
  <c r="AE56" i="3" s="1"/>
  <c r="U56" i="3"/>
  <c r="AD56" i="3" s="1"/>
  <c r="T56" i="3"/>
  <c r="AC56" i="3" s="1"/>
  <c r="H56" i="3"/>
  <c r="S56" i="3" s="1"/>
  <c r="AB56" i="3" s="1"/>
  <c r="AG55" i="3"/>
  <c r="W55" i="3"/>
  <c r="AF55" i="3" s="1"/>
  <c r="V55" i="3"/>
  <c r="AE55" i="3" s="1"/>
  <c r="U55" i="3"/>
  <c r="AD55" i="3" s="1"/>
  <c r="T55" i="3"/>
  <c r="AC55" i="3" s="1"/>
  <c r="H55" i="3"/>
  <c r="S55" i="3" s="1"/>
  <c r="AB55" i="3" s="1"/>
  <c r="X54" i="3"/>
  <c r="AG54" i="3" s="1"/>
  <c r="W54" i="3"/>
  <c r="AF54" i="3" s="1"/>
  <c r="V54" i="3"/>
  <c r="AE54" i="3" s="1"/>
  <c r="U54" i="3"/>
  <c r="AD54" i="3" s="1"/>
  <c r="T54" i="3"/>
  <c r="AC54" i="3" s="1"/>
  <c r="H54" i="3"/>
  <c r="X53" i="3"/>
  <c r="W53" i="3"/>
  <c r="AF53" i="3" s="1"/>
  <c r="V53" i="3"/>
  <c r="AE53" i="3" s="1"/>
  <c r="U53" i="3"/>
  <c r="AD53" i="3" s="1"/>
  <c r="T53" i="3"/>
  <c r="AC53" i="3" s="1"/>
  <c r="H53" i="3"/>
  <c r="S53" i="3" s="1"/>
  <c r="X52" i="3"/>
  <c r="AG52" i="3" s="1"/>
  <c r="W52" i="3"/>
  <c r="AF52" i="3" s="1"/>
  <c r="V52" i="3"/>
  <c r="AE52" i="3" s="1"/>
  <c r="U52" i="3"/>
  <c r="AD52" i="3" s="1"/>
  <c r="T52" i="3"/>
  <c r="AC52" i="3" s="1"/>
  <c r="H52" i="3"/>
  <c r="X51" i="3"/>
  <c r="AG51" i="3" s="1"/>
  <c r="W51" i="3"/>
  <c r="AF51" i="3" s="1"/>
  <c r="V51" i="3"/>
  <c r="AE51" i="3" s="1"/>
  <c r="U51" i="3"/>
  <c r="AD51" i="3" s="1"/>
  <c r="T51" i="3"/>
  <c r="AC51" i="3" s="1"/>
  <c r="H51" i="3"/>
  <c r="S51" i="3" s="1"/>
  <c r="AB51" i="3" s="1"/>
  <c r="X50" i="3"/>
  <c r="AG50" i="3" s="1"/>
  <c r="W50" i="3"/>
  <c r="AF50" i="3" s="1"/>
  <c r="V50" i="3"/>
  <c r="AE50" i="3" s="1"/>
  <c r="U50" i="3"/>
  <c r="AD50" i="3" s="1"/>
  <c r="T50" i="3"/>
  <c r="AC50" i="3" s="1"/>
  <c r="H50" i="3"/>
  <c r="Q50" i="3" s="1"/>
  <c r="X49" i="3"/>
  <c r="AG49" i="3" s="1"/>
  <c r="W49" i="3"/>
  <c r="AF49" i="3" s="1"/>
  <c r="V49" i="3"/>
  <c r="AE49" i="3" s="1"/>
  <c r="U49" i="3"/>
  <c r="AD49" i="3" s="1"/>
  <c r="T49" i="3"/>
  <c r="AC49" i="3" s="1"/>
  <c r="H49" i="3"/>
  <c r="S49" i="3" s="1"/>
  <c r="X48" i="3"/>
  <c r="AG48" i="3" s="1"/>
  <c r="W48" i="3"/>
  <c r="AF48" i="3" s="1"/>
  <c r="V48" i="3"/>
  <c r="AE48" i="3" s="1"/>
  <c r="U48" i="3"/>
  <c r="AD48" i="3" s="1"/>
  <c r="T48" i="3"/>
  <c r="AC48" i="3" s="1"/>
  <c r="H48" i="3"/>
  <c r="Q48" i="3" s="1"/>
  <c r="X47" i="3"/>
  <c r="AG47" i="3" s="1"/>
  <c r="W47" i="3"/>
  <c r="AF47" i="3" s="1"/>
  <c r="V47" i="3"/>
  <c r="AE47" i="3" s="1"/>
  <c r="U47" i="3"/>
  <c r="AD47" i="3" s="1"/>
  <c r="T47" i="3"/>
  <c r="AC47" i="3" s="1"/>
  <c r="H47" i="3"/>
  <c r="S47" i="3" s="1"/>
  <c r="X46" i="3"/>
  <c r="AG46" i="3" s="1"/>
  <c r="W46" i="3"/>
  <c r="AF46" i="3" s="1"/>
  <c r="V46" i="3"/>
  <c r="AE46" i="3" s="1"/>
  <c r="U46" i="3"/>
  <c r="AD46" i="3" s="1"/>
  <c r="T46" i="3"/>
  <c r="AC46" i="3" s="1"/>
  <c r="H46" i="3"/>
  <c r="Q46" i="3" s="1"/>
  <c r="X45" i="3"/>
  <c r="AG45" i="3" s="1"/>
  <c r="W45" i="3"/>
  <c r="AF45" i="3" s="1"/>
  <c r="V45" i="3"/>
  <c r="AE45" i="3" s="1"/>
  <c r="U45" i="3"/>
  <c r="AD45" i="3" s="1"/>
  <c r="T45" i="3"/>
  <c r="AC45" i="3" s="1"/>
  <c r="H45" i="3"/>
  <c r="S45" i="3" s="1"/>
  <c r="X44" i="3"/>
  <c r="AG44" i="3" s="1"/>
  <c r="W44" i="3"/>
  <c r="AF44" i="3" s="1"/>
  <c r="V44" i="3"/>
  <c r="AE44" i="3" s="1"/>
  <c r="U44" i="3"/>
  <c r="AD44" i="3" s="1"/>
  <c r="T44" i="3"/>
  <c r="AC44" i="3" s="1"/>
  <c r="H44" i="3"/>
  <c r="Q44" i="3" s="1"/>
  <c r="X43" i="3"/>
  <c r="AG43" i="3" s="1"/>
  <c r="W43" i="3"/>
  <c r="V43" i="3"/>
  <c r="U43" i="3"/>
  <c r="AD43" i="3" s="1"/>
  <c r="T43" i="3"/>
  <c r="AC43" i="3" s="1"/>
  <c r="H43" i="3"/>
  <c r="S43" i="3" s="1"/>
  <c r="X42" i="3"/>
  <c r="AG42" i="3" s="1"/>
  <c r="W42" i="3"/>
  <c r="AF42" i="3" s="1"/>
  <c r="V42" i="3"/>
  <c r="AE42" i="3" s="1"/>
  <c r="U42" i="3"/>
  <c r="AD42" i="3" s="1"/>
  <c r="T42" i="3"/>
  <c r="AC42" i="3" s="1"/>
  <c r="H42" i="3"/>
  <c r="S42" i="3" s="1"/>
  <c r="X41" i="3"/>
  <c r="AG41" i="3" s="1"/>
  <c r="W41" i="3"/>
  <c r="AF41" i="3" s="1"/>
  <c r="V41" i="3"/>
  <c r="AE41" i="3" s="1"/>
  <c r="U41" i="3"/>
  <c r="AD41" i="3" s="1"/>
  <c r="T41" i="3"/>
  <c r="AC41" i="3" s="1"/>
  <c r="H41" i="3"/>
  <c r="S41" i="3" s="1"/>
  <c r="X40" i="3"/>
  <c r="AG40" i="3" s="1"/>
  <c r="W40" i="3"/>
  <c r="AF40" i="3" s="1"/>
  <c r="V40" i="3"/>
  <c r="AE40" i="3" s="1"/>
  <c r="U40" i="3"/>
  <c r="AD40" i="3" s="1"/>
  <c r="T40" i="3"/>
  <c r="AC40" i="3" s="1"/>
  <c r="H40" i="3"/>
  <c r="S40" i="3" s="1"/>
  <c r="X39" i="3"/>
  <c r="AG39" i="3" s="1"/>
  <c r="W39" i="3"/>
  <c r="AF39" i="3" s="1"/>
  <c r="V39" i="3"/>
  <c r="AE39" i="3" s="1"/>
  <c r="U39" i="3"/>
  <c r="AD39" i="3" s="1"/>
  <c r="T39" i="3"/>
  <c r="AC39" i="3" s="1"/>
  <c r="H39" i="3"/>
  <c r="S39" i="3" s="1"/>
  <c r="X38" i="3"/>
  <c r="AG38" i="3" s="1"/>
  <c r="W38" i="3"/>
  <c r="AF38" i="3" s="1"/>
  <c r="V38" i="3"/>
  <c r="AE38" i="3" s="1"/>
  <c r="U38" i="3"/>
  <c r="AD38" i="3" s="1"/>
  <c r="T38" i="3"/>
  <c r="AC38" i="3" s="1"/>
  <c r="H38" i="3"/>
  <c r="S38" i="3" s="1"/>
  <c r="X37" i="3"/>
  <c r="AG37" i="3" s="1"/>
  <c r="W37" i="3"/>
  <c r="AF37" i="3" s="1"/>
  <c r="V37" i="3"/>
  <c r="AE37" i="3" s="1"/>
  <c r="U37" i="3"/>
  <c r="AD37" i="3" s="1"/>
  <c r="T37" i="3"/>
  <c r="AC37" i="3" s="1"/>
  <c r="H37" i="3"/>
  <c r="S37" i="3" s="1"/>
  <c r="X36" i="3"/>
  <c r="AG36" i="3" s="1"/>
  <c r="W36" i="3"/>
  <c r="AF36" i="3" s="1"/>
  <c r="V36" i="3"/>
  <c r="AE36" i="3" s="1"/>
  <c r="U36" i="3"/>
  <c r="AD36" i="3" s="1"/>
  <c r="T36" i="3"/>
  <c r="AC36" i="3" s="1"/>
  <c r="H36" i="3"/>
  <c r="S36" i="3" s="1"/>
  <c r="AB36" i="3" s="1"/>
  <c r="X35" i="3"/>
  <c r="AG35" i="3" s="1"/>
  <c r="W35" i="3"/>
  <c r="AF35" i="3" s="1"/>
  <c r="V35" i="3"/>
  <c r="AE35" i="3" s="1"/>
  <c r="U35" i="3"/>
  <c r="AD35" i="3" s="1"/>
  <c r="T35" i="3"/>
  <c r="AC35" i="3" s="1"/>
  <c r="H35" i="3"/>
  <c r="S35" i="3" s="1"/>
  <c r="X34" i="3"/>
  <c r="W34" i="3"/>
  <c r="V34" i="3"/>
  <c r="AE34" i="3" s="1"/>
  <c r="U34" i="3"/>
  <c r="T34" i="3"/>
  <c r="AC34" i="3" s="1"/>
  <c r="H34" i="3"/>
  <c r="S34" i="3" s="1"/>
  <c r="AB34" i="3" s="1"/>
  <c r="AM33" i="3"/>
  <c r="AL33" i="3"/>
  <c r="AK33" i="3"/>
  <c r="P33" i="3"/>
  <c r="O33" i="3"/>
  <c r="N33" i="3"/>
  <c r="M33" i="3"/>
  <c r="L33" i="3"/>
  <c r="K33" i="3"/>
  <c r="J33" i="3"/>
  <c r="I33" i="3"/>
  <c r="G33" i="3"/>
  <c r="F33" i="3"/>
  <c r="E33" i="3"/>
  <c r="Y32" i="3"/>
  <c r="AH32" i="3" s="1"/>
  <c r="AI32" i="3" s="1"/>
  <c r="AJ32" i="3" s="1"/>
  <c r="X32" i="3"/>
  <c r="AG32" i="3" s="1"/>
  <c r="W32" i="3"/>
  <c r="AF32" i="3" s="1"/>
  <c r="V32" i="3"/>
  <c r="AE32" i="3" s="1"/>
  <c r="U32" i="3"/>
  <c r="AD32" i="3" s="1"/>
  <c r="T32" i="3"/>
  <c r="AC32" i="3" s="1"/>
  <c r="H32" i="3"/>
  <c r="Y31" i="3"/>
  <c r="AH31" i="3" s="1"/>
  <c r="AI31" i="3" s="1"/>
  <c r="AJ31" i="3" s="1"/>
  <c r="X31" i="3"/>
  <c r="AG31" i="3" s="1"/>
  <c r="W31" i="3"/>
  <c r="V31" i="3"/>
  <c r="AE31" i="3" s="1"/>
  <c r="U31" i="3"/>
  <c r="AD31" i="3" s="1"/>
  <c r="T31" i="3"/>
  <c r="AC31" i="3" s="1"/>
  <c r="H31" i="3"/>
  <c r="Q31" i="3" s="1"/>
  <c r="Y30" i="3"/>
  <c r="AH30" i="3" s="1"/>
  <c r="X30" i="3"/>
  <c r="AG30" i="3" s="1"/>
  <c r="W30" i="3"/>
  <c r="AF30" i="3" s="1"/>
  <c r="V30" i="3"/>
  <c r="AE30" i="3" s="1"/>
  <c r="U30" i="3"/>
  <c r="AD30" i="3" s="1"/>
  <c r="T30" i="3"/>
  <c r="AC30" i="3" s="1"/>
  <c r="H30" i="3"/>
  <c r="AM29" i="3"/>
  <c r="AL29" i="3"/>
  <c r="AK29" i="3"/>
  <c r="P29" i="3"/>
  <c r="O29" i="3"/>
  <c r="N29" i="3"/>
  <c r="M29" i="3"/>
  <c r="L29" i="3"/>
  <c r="K29" i="3"/>
  <c r="J29" i="3"/>
  <c r="I29" i="3"/>
  <c r="G29" i="3"/>
  <c r="F29" i="3"/>
  <c r="E29" i="3"/>
  <c r="X28" i="3"/>
  <c r="AG28" i="3" s="1"/>
  <c r="W28" i="3"/>
  <c r="AF28" i="3" s="1"/>
  <c r="V28" i="3"/>
  <c r="AE28" i="3" s="1"/>
  <c r="U28" i="3"/>
  <c r="AD28" i="3" s="1"/>
  <c r="T28" i="3"/>
  <c r="AC28" i="3" s="1"/>
  <c r="H28" i="3"/>
  <c r="Q28" i="3" s="1"/>
  <c r="X27" i="3"/>
  <c r="AG27" i="3" s="1"/>
  <c r="W27" i="3"/>
  <c r="AF27" i="3" s="1"/>
  <c r="V27" i="3"/>
  <c r="AE27" i="3" s="1"/>
  <c r="U27" i="3"/>
  <c r="AD27" i="3" s="1"/>
  <c r="T27" i="3"/>
  <c r="AC27" i="3" s="1"/>
  <c r="H27" i="3"/>
  <c r="Q27" i="3" s="1"/>
  <c r="X26" i="3"/>
  <c r="AG26" i="3" s="1"/>
  <c r="W26" i="3"/>
  <c r="AF26" i="3" s="1"/>
  <c r="V26" i="3"/>
  <c r="AE26" i="3" s="1"/>
  <c r="U26" i="3"/>
  <c r="AD26" i="3" s="1"/>
  <c r="T26" i="3"/>
  <c r="AC26" i="3" s="1"/>
  <c r="H26" i="3"/>
  <c r="Q26" i="3" s="1"/>
  <c r="X25" i="3"/>
  <c r="AG25" i="3" s="1"/>
  <c r="W25" i="3"/>
  <c r="AF25" i="3" s="1"/>
  <c r="V25" i="3"/>
  <c r="AE25" i="3" s="1"/>
  <c r="U25" i="3"/>
  <c r="AD25" i="3" s="1"/>
  <c r="T25" i="3"/>
  <c r="AC25" i="3" s="1"/>
  <c r="H25" i="3"/>
  <c r="S25" i="3" s="1"/>
  <c r="X24" i="3"/>
  <c r="AG24" i="3" s="1"/>
  <c r="W24" i="3"/>
  <c r="AF24" i="3" s="1"/>
  <c r="V24" i="3"/>
  <c r="AE24" i="3" s="1"/>
  <c r="U24" i="3"/>
  <c r="AD24" i="3" s="1"/>
  <c r="T24" i="3"/>
  <c r="AC24" i="3" s="1"/>
  <c r="H24" i="3"/>
  <c r="Q24" i="3" s="1"/>
  <c r="X23" i="3"/>
  <c r="AG23" i="3" s="1"/>
  <c r="W23" i="3"/>
  <c r="AF23" i="3" s="1"/>
  <c r="V23" i="3"/>
  <c r="AE23" i="3" s="1"/>
  <c r="U23" i="3"/>
  <c r="AD23" i="3" s="1"/>
  <c r="T23" i="3"/>
  <c r="AC23" i="3" s="1"/>
  <c r="H23" i="3"/>
  <c r="S23" i="3" s="1"/>
  <c r="X22" i="3"/>
  <c r="AG22" i="3" s="1"/>
  <c r="W22" i="3"/>
  <c r="AF22" i="3" s="1"/>
  <c r="V22" i="3"/>
  <c r="AE22" i="3" s="1"/>
  <c r="U22" i="3"/>
  <c r="AD22" i="3" s="1"/>
  <c r="T22" i="3"/>
  <c r="AC22" i="3" s="1"/>
  <c r="H22" i="3"/>
  <c r="S22" i="3" s="1"/>
  <c r="X21" i="3"/>
  <c r="AG21" i="3" s="1"/>
  <c r="W21" i="3"/>
  <c r="AF21" i="3" s="1"/>
  <c r="V21" i="3"/>
  <c r="AE21" i="3" s="1"/>
  <c r="U21" i="3"/>
  <c r="AD21" i="3" s="1"/>
  <c r="T21" i="3"/>
  <c r="AC21" i="3" s="1"/>
  <c r="H21" i="3"/>
  <c r="S21" i="3" s="1"/>
  <c r="AB21" i="3" s="1"/>
  <c r="X20" i="3"/>
  <c r="AG20" i="3" s="1"/>
  <c r="W20" i="3"/>
  <c r="AF20" i="3" s="1"/>
  <c r="V20" i="3"/>
  <c r="AE20" i="3" s="1"/>
  <c r="U20" i="3"/>
  <c r="AD20" i="3" s="1"/>
  <c r="T20" i="3"/>
  <c r="AC20" i="3" s="1"/>
  <c r="H20" i="3"/>
  <c r="S20" i="3" s="1"/>
  <c r="AM19" i="3"/>
  <c r="AL19" i="3"/>
  <c r="AK19" i="3"/>
  <c r="P19" i="3"/>
  <c r="O19" i="3"/>
  <c r="N19" i="3"/>
  <c r="M19" i="3"/>
  <c r="L19" i="3"/>
  <c r="K19" i="3"/>
  <c r="J19" i="3"/>
  <c r="I19" i="3"/>
  <c r="G19" i="3"/>
  <c r="F19" i="3"/>
  <c r="E19" i="3"/>
  <c r="X18" i="3"/>
  <c r="AG18" i="3" s="1"/>
  <c r="W18" i="3"/>
  <c r="AF18" i="3" s="1"/>
  <c r="V18" i="3"/>
  <c r="AE18" i="3" s="1"/>
  <c r="U18" i="3"/>
  <c r="T18" i="3"/>
  <c r="AC18" i="3" s="1"/>
  <c r="H18" i="3"/>
  <c r="Q18" i="3" s="1"/>
  <c r="X17" i="3"/>
  <c r="AG17" i="3" s="1"/>
  <c r="W17" i="3"/>
  <c r="AF17" i="3" s="1"/>
  <c r="V17" i="3"/>
  <c r="AE17" i="3" s="1"/>
  <c r="U17" i="3"/>
  <c r="AD17" i="3" s="1"/>
  <c r="T17" i="3"/>
  <c r="AC17" i="3" s="1"/>
  <c r="H17" i="3"/>
  <c r="X16" i="3"/>
  <c r="AG16" i="3" s="1"/>
  <c r="W16" i="3"/>
  <c r="AF16" i="3" s="1"/>
  <c r="V16" i="3"/>
  <c r="AE16" i="3" s="1"/>
  <c r="U16" i="3"/>
  <c r="AD16" i="3" s="1"/>
  <c r="T16" i="3"/>
  <c r="AC16" i="3" s="1"/>
  <c r="H16" i="3"/>
  <c r="Q16" i="3" s="1"/>
  <c r="X15" i="3"/>
  <c r="AG15" i="3" s="1"/>
  <c r="W15" i="3"/>
  <c r="AF15" i="3" s="1"/>
  <c r="V15" i="3"/>
  <c r="AE15" i="3" s="1"/>
  <c r="U15" i="3"/>
  <c r="AD15" i="3" s="1"/>
  <c r="T15" i="3"/>
  <c r="AC15" i="3" s="1"/>
  <c r="H15" i="3"/>
  <c r="X14" i="3"/>
  <c r="AG14" i="3" s="1"/>
  <c r="W14" i="3"/>
  <c r="AF14" i="3" s="1"/>
  <c r="V14" i="3"/>
  <c r="AE14" i="3" s="1"/>
  <c r="U14" i="3"/>
  <c r="AD14" i="3" s="1"/>
  <c r="T14" i="3"/>
  <c r="AC14" i="3" s="1"/>
  <c r="H14" i="3"/>
  <c r="S14" i="3" s="1"/>
  <c r="AB14" i="3" s="1"/>
  <c r="X13" i="3"/>
  <c r="AG13" i="3" s="1"/>
  <c r="W13" i="3"/>
  <c r="AF13" i="3" s="1"/>
  <c r="V13" i="3"/>
  <c r="AE13" i="3" s="1"/>
  <c r="U13" i="3"/>
  <c r="AD13" i="3" s="1"/>
  <c r="T13" i="3"/>
  <c r="AC13" i="3" s="1"/>
  <c r="H13" i="3"/>
  <c r="X12" i="3"/>
  <c r="AG12" i="3" s="1"/>
  <c r="W12" i="3"/>
  <c r="AF12" i="3" s="1"/>
  <c r="V12" i="3"/>
  <c r="AE12" i="3" s="1"/>
  <c r="U12" i="3"/>
  <c r="AD12" i="3" s="1"/>
  <c r="T12" i="3"/>
  <c r="AC12" i="3" s="1"/>
  <c r="H12" i="3"/>
  <c r="S12" i="3" s="1"/>
  <c r="AB12" i="3" s="1"/>
  <c r="X11" i="3"/>
  <c r="AG11" i="3" s="1"/>
  <c r="W11" i="3"/>
  <c r="AF11" i="3" s="1"/>
  <c r="V11" i="3"/>
  <c r="AE11" i="3" s="1"/>
  <c r="U11" i="3"/>
  <c r="AD11" i="3" s="1"/>
  <c r="T11" i="3"/>
  <c r="AC11" i="3" s="1"/>
  <c r="H11" i="3"/>
  <c r="Q11" i="3" s="1"/>
  <c r="X10" i="3"/>
  <c r="AG10" i="3" s="1"/>
  <c r="W10" i="3"/>
  <c r="AF10" i="3" s="1"/>
  <c r="V10" i="3"/>
  <c r="AE10" i="3" s="1"/>
  <c r="U10" i="3"/>
  <c r="T10" i="3"/>
  <c r="AC10" i="3" s="1"/>
  <c r="H10" i="3"/>
  <c r="S10" i="3" s="1"/>
  <c r="AB10" i="3" s="1"/>
  <c r="X9" i="3"/>
  <c r="AG9" i="3" s="1"/>
  <c r="W9" i="3"/>
  <c r="AF9" i="3" s="1"/>
  <c r="V9" i="3"/>
  <c r="AE9" i="3" s="1"/>
  <c r="U9" i="3"/>
  <c r="AD9" i="3" s="1"/>
  <c r="T9" i="3"/>
  <c r="AC9" i="3" s="1"/>
  <c r="H9" i="3"/>
  <c r="Q9" i="3" s="1"/>
  <c r="X8" i="3"/>
  <c r="AG8" i="3" s="1"/>
  <c r="W8" i="3"/>
  <c r="AF8" i="3" s="1"/>
  <c r="V8" i="3"/>
  <c r="AE8" i="3" s="1"/>
  <c r="U8" i="3"/>
  <c r="AD8" i="3" s="1"/>
  <c r="T8" i="3"/>
  <c r="AC8" i="3" s="1"/>
  <c r="H8" i="3"/>
  <c r="S8" i="3" s="1"/>
  <c r="AB8" i="3" s="1"/>
  <c r="X7" i="3"/>
  <c r="W7" i="3"/>
  <c r="V7" i="3"/>
  <c r="U7" i="3"/>
  <c r="T7" i="3"/>
  <c r="H7" i="3"/>
  <c r="W164" i="3" l="1"/>
  <c r="S233" i="3"/>
  <c r="AB233" i="3" s="1"/>
  <c r="X19" i="3"/>
  <c r="AE33" i="3"/>
  <c r="S232" i="3"/>
  <c r="AB232" i="3" s="1"/>
  <c r="T81" i="3"/>
  <c r="Y161" i="3"/>
  <c r="X301" i="3"/>
  <c r="V155" i="3"/>
  <c r="Q164" i="3"/>
  <c r="AH161" i="3"/>
  <c r="AH159" i="3"/>
  <c r="Q64" i="3"/>
  <c r="T190" i="3"/>
  <c r="S289" i="3"/>
  <c r="AB289" i="3" s="1"/>
  <c r="Q250" i="3"/>
  <c r="Y250" i="3" s="1"/>
  <c r="AH250" i="3" s="1"/>
  <c r="AI250" i="3" s="1"/>
  <c r="AJ250" i="3" s="1"/>
  <c r="Q56" i="3"/>
  <c r="S84" i="3"/>
  <c r="AB84" i="3" s="1"/>
  <c r="S100" i="3"/>
  <c r="AB100" i="3" s="1"/>
  <c r="S146" i="3"/>
  <c r="AB146" i="3" s="1"/>
  <c r="Q279" i="3"/>
  <c r="Y279" i="3" s="1"/>
  <c r="AH279" i="3" s="1"/>
  <c r="AI279" i="3" s="1"/>
  <c r="AJ279" i="3" s="1"/>
  <c r="AB290" i="3"/>
  <c r="AD154" i="3"/>
  <c r="AD155" i="3" s="1"/>
  <c r="S177" i="3"/>
  <c r="AB177" i="3" s="1"/>
  <c r="Y56" i="3"/>
  <c r="AH56" i="3" s="1"/>
  <c r="AI56" i="3" s="1"/>
  <c r="AJ56" i="3" s="1"/>
  <c r="Q156" i="3"/>
  <c r="Q157" i="3" s="1"/>
  <c r="Q243" i="3"/>
  <c r="Q249" i="3"/>
  <c r="S281" i="3"/>
  <c r="AB281" i="3" s="1"/>
  <c r="S16" i="3"/>
  <c r="AB16" i="3" s="1"/>
  <c r="Z80" i="3"/>
  <c r="AD80" i="3" s="1"/>
  <c r="AN80" i="3" s="1"/>
  <c r="AB253" i="3"/>
  <c r="AN253" i="3" s="1"/>
  <c r="Q175" i="3"/>
  <c r="Y175" i="3" s="1"/>
  <c r="AH175" i="3" s="1"/>
  <c r="AI175" i="3" s="1"/>
  <c r="AJ175" i="3" s="1"/>
  <c r="H229" i="3"/>
  <c r="S44" i="3"/>
  <c r="Y44" i="3" s="1"/>
  <c r="AB53" i="3"/>
  <c r="S98" i="3"/>
  <c r="AB98" i="3" s="1"/>
  <c r="V157" i="3"/>
  <c r="U266" i="3"/>
  <c r="S31" i="3"/>
  <c r="AB31" i="3" s="1"/>
  <c r="Q124" i="3"/>
  <c r="S148" i="3"/>
  <c r="AB148" i="3" s="1"/>
  <c r="S183" i="3"/>
  <c r="AB183" i="3" s="1"/>
  <c r="S231" i="3"/>
  <c r="AB231" i="3" s="1"/>
  <c r="AN231" i="3" s="1"/>
  <c r="W266" i="3"/>
  <c r="U268" i="3"/>
  <c r="S271" i="3"/>
  <c r="Y271" i="3" s="1"/>
  <c r="AH271" i="3" s="1"/>
  <c r="AI271" i="3" s="1"/>
  <c r="AJ271" i="3" s="1"/>
  <c r="S272" i="3"/>
  <c r="AB272" i="3" s="1"/>
  <c r="AN272" i="3" s="1"/>
  <c r="Q286" i="3"/>
  <c r="Y286" i="3" s="1"/>
  <c r="AH286" i="3" s="1"/>
  <c r="AI286" i="3" s="1"/>
  <c r="AJ286" i="3" s="1"/>
  <c r="Q299" i="3"/>
  <c r="Y299" i="3" s="1"/>
  <c r="AH299" i="3" s="1"/>
  <c r="AI299" i="3" s="1"/>
  <c r="AJ299" i="3" s="1"/>
  <c r="Y78" i="3"/>
  <c r="H185" i="3"/>
  <c r="U62" i="3"/>
  <c r="H161" i="3"/>
  <c r="AF190" i="3"/>
  <c r="U81" i="3"/>
  <c r="U164" i="3"/>
  <c r="Q238" i="3"/>
  <c r="Y238" i="3" s="1"/>
  <c r="AH238" i="3" s="1"/>
  <c r="AI238" i="3" s="1"/>
  <c r="AJ238" i="3" s="1"/>
  <c r="Q42" i="3"/>
  <c r="S11" i="3"/>
  <c r="Y11" i="3" s="1"/>
  <c r="AH11" i="3" s="1"/>
  <c r="AI11" i="3" s="1"/>
  <c r="AJ11" i="3" s="1"/>
  <c r="Q12" i="3"/>
  <c r="Y12" i="3" s="1"/>
  <c r="S18" i="3"/>
  <c r="AB18" i="3" s="1"/>
  <c r="P302" i="3"/>
  <c r="AD29" i="3"/>
  <c r="Z64" i="3"/>
  <c r="AG64" i="3" s="1"/>
  <c r="AM64" i="3" s="1"/>
  <c r="AN64" i="3" s="1"/>
  <c r="S68" i="3"/>
  <c r="Z68" i="3" s="1"/>
  <c r="AG68" i="3" s="1"/>
  <c r="Z76" i="3"/>
  <c r="AG76" i="3" s="1"/>
  <c r="W81" i="3"/>
  <c r="W133" i="3"/>
  <c r="W190" i="3"/>
  <c r="X234" i="3"/>
  <c r="T236" i="3"/>
  <c r="AG266" i="3"/>
  <c r="Q253" i="3"/>
  <c r="Y253" i="3" s="1"/>
  <c r="AH253" i="3" s="1"/>
  <c r="AI253" i="3" s="1"/>
  <c r="AJ253" i="3" s="1"/>
  <c r="S265" i="3"/>
  <c r="AB265" i="3" s="1"/>
  <c r="V268" i="3"/>
  <c r="Q270" i="3"/>
  <c r="Y270" i="3" s="1"/>
  <c r="AH270" i="3" s="1"/>
  <c r="AI270" i="3" s="1"/>
  <c r="AJ270" i="3" s="1"/>
  <c r="Q284" i="3"/>
  <c r="S285" i="3"/>
  <c r="AB285" i="3" s="1"/>
  <c r="Q296" i="3"/>
  <c r="Y296" i="3" s="1"/>
  <c r="AH296" i="3" s="1"/>
  <c r="AI296" i="3" s="1"/>
  <c r="AJ296" i="3" s="1"/>
  <c r="Q297" i="3"/>
  <c r="Q53" i="3"/>
  <c r="Y53" i="3" s="1"/>
  <c r="Q79" i="3"/>
  <c r="Q151" i="3"/>
  <c r="Y151" i="3" s="1"/>
  <c r="AH151" i="3" s="1"/>
  <c r="AI151" i="3" s="1"/>
  <c r="AJ151" i="3" s="1"/>
  <c r="Q276" i="3"/>
  <c r="Y276" i="3" s="1"/>
  <c r="S167" i="3"/>
  <c r="AB167" i="3" s="1"/>
  <c r="Q260" i="3"/>
  <c r="Y260" i="3" s="1"/>
  <c r="AH260" i="3" s="1"/>
  <c r="AI260" i="3" s="1"/>
  <c r="AJ260" i="3" s="1"/>
  <c r="Q275" i="3"/>
  <c r="S82" i="3"/>
  <c r="V266" i="3"/>
  <c r="AG269" i="3"/>
  <c r="T33" i="3"/>
  <c r="W19" i="3"/>
  <c r="V19" i="3"/>
  <c r="AE29" i="3"/>
  <c r="X29" i="3"/>
  <c r="Q40" i="3"/>
  <c r="Y40" i="3" s="1"/>
  <c r="AH40" i="3" s="1"/>
  <c r="AI40" i="3" s="1"/>
  <c r="AJ40" i="3" s="1"/>
  <c r="W78" i="3"/>
  <c r="X81" i="3"/>
  <c r="Q179" i="3"/>
  <c r="Y179" i="3" s="1"/>
  <c r="W234" i="3"/>
  <c r="X236" i="3"/>
  <c r="AE248" i="3"/>
  <c r="AE266" i="3" s="1"/>
  <c r="Q255" i="3"/>
  <c r="W268" i="3"/>
  <c r="U157" i="3"/>
  <c r="T266" i="3"/>
  <c r="M302" i="3"/>
  <c r="M316" i="3" s="1"/>
  <c r="E302" i="3"/>
  <c r="E316" i="3" s="1"/>
  <c r="Q137" i="3"/>
  <c r="Y137" i="3" s="1"/>
  <c r="Q143" i="3"/>
  <c r="Y143" i="3" s="1"/>
  <c r="AH143" i="3" s="1"/>
  <c r="AI143" i="3" s="1"/>
  <c r="AJ143" i="3" s="1"/>
  <c r="Q149" i="3"/>
  <c r="Y149" i="3" s="1"/>
  <c r="AH149" i="3" s="1"/>
  <c r="AI149" i="3" s="1"/>
  <c r="AJ149" i="3" s="1"/>
  <c r="X157" i="3"/>
  <c r="S182" i="3"/>
  <c r="AB182" i="3" s="1"/>
  <c r="S264" i="3"/>
  <c r="AB264" i="3" s="1"/>
  <c r="T268" i="3"/>
  <c r="AG29" i="3"/>
  <c r="S27" i="3"/>
  <c r="AB27" i="3" s="1"/>
  <c r="W33" i="3"/>
  <c r="S46" i="3"/>
  <c r="AB46" i="3" s="1"/>
  <c r="Z65" i="3"/>
  <c r="AG65" i="3" s="1"/>
  <c r="AM65" i="3" s="1"/>
  <c r="AN65" i="3" s="1"/>
  <c r="H155" i="3"/>
  <c r="W247" i="3"/>
  <c r="S251" i="3"/>
  <c r="AB251" i="3" s="1"/>
  <c r="Q8" i="3"/>
  <c r="Y8" i="3" s="1"/>
  <c r="AH8" i="3" s="1"/>
  <c r="AI8" i="3" s="1"/>
  <c r="AJ8" i="3" s="1"/>
  <c r="Q10" i="3"/>
  <c r="Y10" i="3" s="1"/>
  <c r="AH10" i="3" s="1"/>
  <c r="Q14" i="3"/>
  <c r="Y14" i="3" s="1"/>
  <c r="AH14" i="3" s="1"/>
  <c r="AI14" i="3" s="1"/>
  <c r="AJ14" i="3" s="1"/>
  <c r="Q25" i="3"/>
  <c r="Y25" i="3" s="1"/>
  <c r="AH25" i="3" s="1"/>
  <c r="AI25" i="3" s="1"/>
  <c r="AJ25" i="3" s="1"/>
  <c r="T62" i="3"/>
  <c r="Q63" i="3"/>
  <c r="S79" i="3"/>
  <c r="S81" i="3" s="1"/>
  <c r="Q80" i="3"/>
  <c r="Q108" i="3"/>
  <c r="Y108" i="3" s="1"/>
  <c r="AH108" i="3" s="1"/>
  <c r="AI108" i="3" s="1"/>
  <c r="AJ108" i="3" s="1"/>
  <c r="Q141" i="3"/>
  <c r="Y141" i="3" s="1"/>
  <c r="AH141" i="3" s="1"/>
  <c r="AI141" i="3" s="1"/>
  <c r="AJ141" i="3" s="1"/>
  <c r="Q154" i="3"/>
  <c r="Q155" i="3" s="1"/>
  <c r="S163" i="3"/>
  <c r="AB163" i="3" s="1"/>
  <c r="Q171" i="3"/>
  <c r="S172" i="3"/>
  <c r="AB172" i="3" s="1"/>
  <c r="S178" i="3"/>
  <c r="Y178" i="3" s="1"/>
  <c r="AH178" i="3" s="1"/>
  <c r="AI178" i="3" s="1"/>
  <c r="AJ178" i="3" s="1"/>
  <c r="U301" i="3"/>
  <c r="S287" i="3"/>
  <c r="AB287" i="3" s="1"/>
  <c r="Q293" i="3"/>
  <c r="Y293" i="3" s="1"/>
  <c r="Q295" i="3"/>
  <c r="Y295" i="3" s="1"/>
  <c r="AH295" i="3" s="1"/>
  <c r="AI295" i="3" s="1"/>
  <c r="AJ295" i="3" s="1"/>
  <c r="AN297" i="3"/>
  <c r="Q300" i="3"/>
  <c r="Y42" i="3"/>
  <c r="AH42" i="3" s="1"/>
  <c r="AI42" i="3" s="1"/>
  <c r="AJ42" i="3" s="1"/>
  <c r="Z72" i="3"/>
  <c r="AG72" i="3" s="1"/>
  <c r="AM72" i="3" s="1"/>
  <c r="AN72" i="3" s="1"/>
  <c r="AI154" i="3"/>
  <c r="AI155" i="3" s="1"/>
  <c r="Q23" i="3"/>
  <c r="Y23" i="3" s="1"/>
  <c r="AH23" i="3" s="1"/>
  <c r="AI23" i="3" s="1"/>
  <c r="AJ23" i="3" s="1"/>
  <c r="Q38" i="3"/>
  <c r="Y38" i="3" s="1"/>
  <c r="AH38" i="3" s="1"/>
  <c r="AI38" i="3" s="1"/>
  <c r="AJ38" i="3" s="1"/>
  <c r="S48" i="3"/>
  <c r="AB48" i="3" s="1"/>
  <c r="S75" i="3"/>
  <c r="Z75" i="3" s="1"/>
  <c r="AG75" i="3" s="1"/>
  <c r="Q76" i="3"/>
  <c r="Q96" i="3"/>
  <c r="Y96" i="3" s="1"/>
  <c r="AH96" i="3" s="1"/>
  <c r="AI96" i="3" s="1"/>
  <c r="AJ96" i="3" s="1"/>
  <c r="Q135" i="3"/>
  <c r="Y135" i="3" s="1"/>
  <c r="Q139" i="3"/>
  <c r="Y139" i="3" s="1"/>
  <c r="AH139" i="3" s="1"/>
  <c r="AI139" i="3" s="1"/>
  <c r="AJ139" i="3" s="1"/>
  <c r="AJ158" i="3"/>
  <c r="AJ159" i="3" s="1"/>
  <c r="AF160" i="3"/>
  <c r="AF161" i="3" s="1"/>
  <c r="Q173" i="3"/>
  <c r="S180" i="3"/>
  <c r="AB180" i="3" s="1"/>
  <c r="Q188" i="3"/>
  <c r="Y188" i="3" s="1"/>
  <c r="AH188" i="3" s="1"/>
  <c r="AI188" i="3" s="1"/>
  <c r="AJ188" i="3" s="1"/>
  <c r="Q248" i="3"/>
  <c r="Y248" i="3" s="1"/>
  <c r="Z248" i="3" s="1"/>
  <c r="AF248" i="3"/>
  <c r="AF266" i="3" s="1"/>
  <c r="Q290" i="3"/>
  <c r="Z70" i="3"/>
  <c r="AG70" i="3" s="1"/>
  <c r="AM70" i="3" s="1"/>
  <c r="AN70" i="3" s="1"/>
  <c r="S71" i="3"/>
  <c r="Z71" i="3" s="1"/>
  <c r="AG71" i="3" s="1"/>
  <c r="Q72" i="3"/>
  <c r="Z73" i="3"/>
  <c r="AG73" i="3" s="1"/>
  <c r="Q90" i="3"/>
  <c r="Y90" i="3" s="1"/>
  <c r="AH90" i="3" s="1"/>
  <c r="AI90" i="3" s="1"/>
  <c r="AJ90" i="3" s="1"/>
  <c r="Q116" i="3"/>
  <c r="Y116" i="3" s="1"/>
  <c r="AH116" i="3" s="1"/>
  <c r="AI116" i="3" s="1"/>
  <c r="AJ116" i="3" s="1"/>
  <c r="Q120" i="3"/>
  <c r="Y120" i="3" s="1"/>
  <c r="AH120" i="3" s="1"/>
  <c r="AI120" i="3" s="1"/>
  <c r="AJ120" i="3" s="1"/>
  <c r="S130" i="3"/>
  <c r="AB130" i="3" s="1"/>
  <c r="S138" i="3"/>
  <c r="Y138" i="3" s="1"/>
  <c r="AH138" i="3" s="1"/>
  <c r="AI138" i="3" s="1"/>
  <c r="AJ138" i="3" s="1"/>
  <c r="Q160" i="3"/>
  <c r="Q161" i="3" s="1"/>
  <c r="AG160" i="3"/>
  <c r="AG161" i="3" s="1"/>
  <c r="Q168" i="3"/>
  <c r="Y168" i="3" s="1"/>
  <c r="S174" i="3"/>
  <c r="AB174" i="3" s="1"/>
  <c r="Q181" i="3"/>
  <c r="Y181" i="3" s="1"/>
  <c r="AH181" i="3" s="1"/>
  <c r="AI181" i="3" s="1"/>
  <c r="AJ181" i="3" s="1"/>
  <c r="Q241" i="3"/>
  <c r="Q245" i="3"/>
  <c r="Y245" i="3" s="1"/>
  <c r="AH245" i="3" s="1"/>
  <c r="AI245" i="3" s="1"/>
  <c r="AJ245" i="3" s="1"/>
  <c r="Q246" i="3"/>
  <c r="Y246" i="3" s="1"/>
  <c r="AH246" i="3" s="1"/>
  <c r="AI246" i="3" s="1"/>
  <c r="AJ246" i="3" s="1"/>
  <c r="AC249" i="3"/>
  <c r="Q258" i="3"/>
  <c r="Y258" i="3" s="1"/>
  <c r="AH258" i="3" s="1"/>
  <c r="AI258" i="3" s="1"/>
  <c r="AJ258" i="3" s="1"/>
  <c r="Y265" i="3"/>
  <c r="AH265" i="3" s="1"/>
  <c r="AI265" i="3" s="1"/>
  <c r="AJ265" i="3" s="1"/>
  <c r="Q280" i="3"/>
  <c r="Y280" i="3" s="1"/>
  <c r="AH280" i="3" s="1"/>
  <c r="AI280" i="3" s="1"/>
  <c r="AJ280" i="3" s="1"/>
  <c r="Y292" i="3"/>
  <c r="AH292" i="3" s="1"/>
  <c r="AI292" i="3" s="1"/>
  <c r="AJ292" i="3" s="1"/>
  <c r="Q21" i="3"/>
  <c r="Y21" i="3" s="1"/>
  <c r="Q36" i="3"/>
  <c r="Y36" i="3" s="1"/>
  <c r="AH36" i="3" s="1"/>
  <c r="AI36" i="3" s="1"/>
  <c r="AJ36" i="3" s="1"/>
  <c r="Q57" i="3"/>
  <c r="Y57" i="3" s="1"/>
  <c r="AH57" i="3" s="1"/>
  <c r="AI57" i="3" s="1"/>
  <c r="AJ57" i="3" s="1"/>
  <c r="Q65" i="3"/>
  <c r="Q58" i="3"/>
  <c r="Y58" i="3" s="1"/>
  <c r="AH58" i="3" s="1"/>
  <c r="AI58" i="3" s="1"/>
  <c r="AJ58" i="3" s="1"/>
  <c r="S67" i="3"/>
  <c r="Z67" i="3" s="1"/>
  <c r="AG67" i="3" s="1"/>
  <c r="AF83" i="3"/>
  <c r="AF133" i="3" s="1"/>
  <c r="Y243" i="3"/>
  <c r="AH243" i="3" s="1"/>
  <c r="AI243" i="3" s="1"/>
  <c r="AJ243" i="3" s="1"/>
  <c r="AD249" i="3"/>
  <c r="AD266" i="3" s="1"/>
  <c r="Y281" i="3"/>
  <c r="AH281" i="3" s="1"/>
  <c r="AI281" i="3" s="1"/>
  <c r="AJ281" i="3" s="1"/>
  <c r="Q283" i="3"/>
  <c r="Y283" i="3" s="1"/>
  <c r="V78" i="3"/>
  <c r="U78" i="3"/>
  <c r="Y84" i="3"/>
  <c r="AH84" i="3" s="1"/>
  <c r="AI84" i="3" s="1"/>
  <c r="AJ84" i="3" s="1"/>
  <c r="Q114" i="3"/>
  <c r="Y114" i="3" s="1"/>
  <c r="AH114" i="3" s="1"/>
  <c r="AI114" i="3" s="1"/>
  <c r="AJ114" i="3" s="1"/>
  <c r="Q145" i="3"/>
  <c r="Y145" i="3" s="1"/>
  <c r="AH145" i="3" s="1"/>
  <c r="AI145" i="3" s="1"/>
  <c r="AJ145" i="3" s="1"/>
  <c r="Q147" i="3"/>
  <c r="Y147" i="3" s="1"/>
  <c r="AH147" i="3" s="1"/>
  <c r="AI147" i="3" s="1"/>
  <c r="AJ147" i="3" s="1"/>
  <c r="S156" i="3"/>
  <c r="AF156" i="3"/>
  <c r="AF157" i="3" s="1"/>
  <c r="S169" i="3"/>
  <c r="S176" i="3"/>
  <c r="AB176" i="3" s="1"/>
  <c r="S184" i="3"/>
  <c r="AB184" i="3" s="1"/>
  <c r="X78" i="3"/>
  <c r="Y100" i="3"/>
  <c r="AH100" i="3" s="1"/>
  <c r="AI100" i="3" s="1"/>
  <c r="AJ100" i="3" s="1"/>
  <c r="Q269" i="3"/>
  <c r="Y269" i="3" s="1"/>
  <c r="Z269" i="3" s="1"/>
  <c r="AH33" i="3"/>
  <c r="AI30" i="3"/>
  <c r="H33" i="3"/>
  <c r="S30" i="3"/>
  <c r="Q30" i="3"/>
  <c r="AE62" i="3"/>
  <c r="Z38" i="3"/>
  <c r="AB39" i="3"/>
  <c r="S9" i="3"/>
  <c r="W29" i="3"/>
  <c r="AC33" i="3"/>
  <c r="AB40" i="3"/>
  <c r="AB57" i="3"/>
  <c r="AB41" i="3"/>
  <c r="AB49" i="3"/>
  <c r="S13" i="3"/>
  <c r="Q13" i="3"/>
  <c r="U19" i="3"/>
  <c r="S15" i="3"/>
  <c r="Q15" i="3"/>
  <c r="AD33" i="3"/>
  <c r="S32" i="3"/>
  <c r="Q32" i="3"/>
  <c r="AB47" i="3"/>
  <c r="AB61" i="3"/>
  <c r="AM76" i="3"/>
  <c r="AN76" i="3" s="1"/>
  <c r="H19" i="3"/>
  <c r="Q7" i="3"/>
  <c r="AF29" i="3"/>
  <c r="AB59" i="3"/>
  <c r="U33" i="3"/>
  <c r="AB45" i="3"/>
  <c r="AB37" i="3"/>
  <c r="S17" i="3"/>
  <c r="Q17" i="3"/>
  <c r="AD18" i="3"/>
  <c r="AB20" i="3"/>
  <c r="AB23" i="3"/>
  <c r="AG33" i="3"/>
  <c r="AB35" i="3"/>
  <c r="AD10" i="3"/>
  <c r="S7" i="3"/>
  <c r="Z11" i="3"/>
  <c r="AC29" i="3"/>
  <c r="AB22" i="3"/>
  <c r="AB25" i="3"/>
  <c r="Y33" i="3"/>
  <c r="AC62" i="3"/>
  <c r="AB38" i="3"/>
  <c r="AB42" i="3"/>
  <c r="S93" i="3"/>
  <c r="Q93" i="3"/>
  <c r="S101" i="3"/>
  <c r="Q101" i="3"/>
  <c r="AD114" i="3"/>
  <c r="AD133" i="3" s="1"/>
  <c r="F302" i="3"/>
  <c r="N302" i="3"/>
  <c r="N316" i="3" s="1"/>
  <c r="H29" i="3"/>
  <c r="S52" i="3"/>
  <c r="Q52" i="3"/>
  <c r="V62" i="3"/>
  <c r="AG82" i="3"/>
  <c r="AG133" i="3" s="1"/>
  <c r="X133" i="3"/>
  <c r="S129" i="3"/>
  <c r="Q129" i="3"/>
  <c r="AG190" i="3"/>
  <c r="AF31" i="3"/>
  <c r="AB102" i="3"/>
  <c r="S106" i="3"/>
  <c r="Q106" i="3"/>
  <c r="S117" i="3"/>
  <c r="Q117" i="3"/>
  <c r="O302" i="3"/>
  <c r="O316" i="3" s="1"/>
  <c r="Q37" i="3"/>
  <c r="Y37" i="3" s="1"/>
  <c r="AH37" i="3" s="1"/>
  <c r="AI37" i="3" s="1"/>
  <c r="AJ37" i="3" s="1"/>
  <c r="Q39" i="3"/>
  <c r="Y39" i="3" s="1"/>
  <c r="AH39" i="3" s="1"/>
  <c r="AI39" i="3" s="1"/>
  <c r="AJ39" i="3" s="1"/>
  <c r="Q43" i="3"/>
  <c r="Y43" i="3" s="1"/>
  <c r="AH43" i="3" s="1"/>
  <c r="AI43" i="3" s="1"/>
  <c r="AJ43" i="3" s="1"/>
  <c r="Q47" i="3"/>
  <c r="Y47" i="3" s="1"/>
  <c r="AH47" i="3" s="1"/>
  <c r="AI47" i="3" s="1"/>
  <c r="AJ47" i="3" s="1"/>
  <c r="Q49" i="3"/>
  <c r="Y49" i="3" s="1"/>
  <c r="AH49" i="3" s="1"/>
  <c r="AI49" i="3" s="1"/>
  <c r="AJ49" i="3" s="1"/>
  <c r="S69" i="3"/>
  <c r="Z69" i="3" s="1"/>
  <c r="AG69" i="3" s="1"/>
  <c r="Q69" i="3"/>
  <c r="S88" i="3"/>
  <c r="Y88" i="3" s="1"/>
  <c r="AH88" i="3" s="1"/>
  <c r="AI88" i="3" s="1"/>
  <c r="AJ88" i="3" s="1"/>
  <c r="Q94" i="3"/>
  <c r="Y94" i="3" s="1"/>
  <c r="S113" i="3"/>
  <c r="Q113" i="3"/>
  <c r="S134" i="3"/>
  <c r="Q134" i="3"/>
  <c r="H153" i="3"/>
  <c r="V185" i="3"/>
  <c r="AE165" i="3"/>
  <c r="AE185" i="3" s="1"/>
  <c r="G302" i="3"/>
  <c r="G316" i="3" s="1"/>
  <c r="Q20" i="3"/>
  <c r="Q22" i="3"/>
  <c r="Y22" i="3" s="1"/>
  <c r="AH22" i="3" s="1"/>
  <c r="AI22" i="3" s="1"/>
  <c r="AJ22" i="3" s="1"/>
  <c r="Q35" i="3"/>
  <c r="Y35" i="3" s="1"/>
  <c r="AH35" i="3" s="1"/>
  <c r="AI35" i="3" s="1"/>
  <c r="AJ35" i="3" s="1"/>
  <c r="Q41" i="3"/>
  <c r="Y41" i="3" s="1"/>
  <c r="AH41" i="3" s="1"/>
  <c r="AI41" i="3" s="1"/>
  <c r="AJ41" i="3" s="1"/>
  <c r="Q45" i="3"/>
  <c r="Y45" i="3" s="1"/>
  <c r="AH45" i="3" s="1"/>
  <c r="AI45" i="3" s="1"/>
  <c r="AJ45" i="3" s="1"/>
  <c r="Q51" i="3"/>
  <c r="Y51" i="3" s="1"/>
  <c r="AH51" i="3" s="1"/>
  <c r="AI51" i="3" s="1"/>
  <c r="AJ51" i="3" s="1"/>
  <c r="Q55" i="3"/>
  <c r="Y55" i="3" s="1"/>
  <c r="AH55" i="3" s="1"/>
  <c r="AI55" i="3" s="1"/>
  <c r="AJ55" i="3" s="1"/>
  <c r="Q73" i="3"/>
  <c r="AD7" i="3"/>
  <c r="I302" i="3"/>
  <c r="I316" i="3" s="1"/>
  <c r="S24" i="3"/>
  <c r="S29" i="3" s="1"/>
  <c r="S26" i="3"/>
  <c r="Y26" i="3" s="1"/>
  <c r="AH26" i="3" s="1"/>
  <c r="AI26" i="3" s="1"/>
  <c r="AJ26" i="3" s="1"/>
  <c r="S28" i="3"/>
  <c r="T29" i="3"/>
  <c r="V33" i="3"/>
  <c r="W62" i="3"/>
  <c r="AF34" i="3"/>
  <c r="AF62" i="3" s="1"/>
  <c r="S50" i="3"/>
  <c r="Q61" i="3"/>
  <c r="Y61" i="3" s="1"/>
  <c r="AH61" i="3" s="1"/>
  <c r="AI61" i="3" s="1"/>
  <c r="AJ61" i="3" s="1"/>
  <c r="Q70" i="3"/>
  <c r="S77" i="3"/>
  <c r="Z77" i="3" s="1"/>
  <c r="AG77" i="3" s="1"/>
  <c r="Q77" i="3"/>
  <c r="S85" i="3"/>
  <c r="Q85" i="3"/>
  <c r="Q118" i="3"/>
  <c r="Y118" i="3" s="1"/>
  <c r="S122" i="3"/>
  <c r="Q122" i="3"/>
  <c r="Y124" i="3"/>
  <c r="AH124" i="3" s="1"/>
  <c r="AI124" i="3" s="1"/>
  <c r="AJ124" i="3" s="1"/>
  <c r="U29" i="3"/>
  <c r="X62" i="3"/>
  <c r="AG34" i="3"/>
  <c r="AG62" i="3" s="1"/>
  <c r="S54" i="3"/>
  <c r="Q54" i="3"/>
  <c r="Z63" i="3"/>
  <c r="Z66" i="3"/>
  <c r="AG66" i="3" s="1"/>
  <c r="S95" i="3"/>
  <c r="Q95" i="3"/>
  <c r="S109" i="3"/>
  <c r="Q109" i="3"/>
  <c r="Q142" i="3"/>
  <c r="S142" i="3"/>
  <c r="Q158" i="3"/>
  <c r="Q159" i="3" s="1"/>
  <c r="H159" i="3"/>
  <c r="AI164" i="3"/>
  <c r="AJ162" i="3"/>
  <c r="AJ164" i="3" s="1"/>
  <c r="AD34" i="3"/>
  <c r="AD62" i="3" s="1"/>
  <c r="AE7" i="3"/>
  <c r="J302" i="3"/>
  <c r="J316" i="3" s="1"/>
  <c r="AF7" i="3"/>
  <c r="K302" i="3"/>
  <c r="K316" i="3" s="1"/>
  <c r="T19" i="3"/>
  <c r="AK302" i="3"/>
  <c r="V29" i="3"/>
  <c r="X33" i="3"/>
  <c r="H62" i="3"/>
  <c r="Q59" i="3"/>
  <c r="Y59" i="3" s="1"/>
  <c r="AH59" i="3" s="1"/>
  <c r="AI59" i="3" s="1"/>
  <c r="AJ59" i="3" s="1"/>
  <c r="Q60" i="3"/>
  <c r="Y60" i="3" s="1"/>
  <c r="AH60" i="3" s="1"/>
  <c r="AI60" i="3" s="1"/>
  <c r="AJ60" i="3" s="1"/>
  <c r="T78" i="3"/>
  <c r="Z74" i="3"/>
  <c r="AG74" i="3" s="1"/>
  <c r="AB86" i="3"/>
  <c r="S89" i="3"/>
  <c r="Q89" i="3"/>
  <c r="S92" i="3"/>
  <c r="Q92" i="3"/>
  <c r="Y92" i="3" s="1"/>
  <c r="AH92" i="3" s="1"/>
  <c r="AI92" i="3" s="1"/>
  <c r="AJ92" i="3" s="1"/>
  <c r="Q104" i="3"/>
  <c r="Y104" i="3" s="1"/>
  <c r="AH104" i="3" s="1"/>
  <c r="AI104" i="3" s="1"/>
  <c r="AJ104" i="3" s="1"/>
  <c r="S110" i="3"/>
  <c r="Q110" i="3"/>
  <c r="S125" i="3"/>
  <c r="Q125" i="3"/>
  <c r="AE130" i="3"/>
  <c r="AC7" i="3"/>
  <c r="AG7" i="3"/>
  <c r="L302" i="3"/>
  <c r="L316" i="3" s="1"/>
  <c r="AL302" i="3"/>
  <c r="Q34" i="3"/>
  <c r="H78" i="3"/>
  <c r="S111" i="3"/>
  <c r="Q111" i="3"/>
  <c r="S127" i="3"/>
  <c r="Q127" i="3"/>
  <c r="Y148" i="3"/>
  <c r="AH148" i="3" s="1"/>
  <c r="AI148" i="3" s="1"/>
  <c r="AJ148" i="3" s="1"/>
  <c r="AB161" i="3"/>
  <c r="Z160" i="3"/>
  <c r="Z161" i="3" s="1"/>
  <c r="S161" i="3"/>
  <c r="H133" i="3"/>
  <c r="S83" i="3"/>
  <c r="Q83" i="3"/>
  <c r="S99" i="3"/>
  <c r="Q99" i="3"/>
  <c r="S115" i="3"/>
  <c r="Q115" i="3"/>
  <c r="AC153" i="3"/>
  <c r="AB169" i="3"/>
  <c r="AN169" i="3" s="1"/>
  <c r="Z169" i="3"/>
  <c r="AD153" i="3"/>
  <c r="AB135" i="3"/>
  <c r="AB82" i="3"/>
  <c r="S87" i="3"/>
  <c r="Q87" i="3"/>
  <c r="S103" i="3"/>
  <c r="Q103" i="3"/>
  <c r="S119" i="3"/>
  <c r="Q119" i="3"/>
  <c r="Q126" i="3"/>
  <c r="Y126" i="3" s="1"/>
  <c r="AH126" i="3" s="1"/>
  <c r="AI126" i="3" s="1"/>
  <c r="AJ126" i="3" s="1"/>
  <c r="S131" i="3"/>
  <c r="Q131" i="3"/>
  <c r="AE153" i="3"/>
  <c r="Q136" i="3"/>
  <c r="S136" i="3"/>
  <c r="AB137" i="3"/>
  <c r="S144" i="3"/>
  <c r="AJ160" i="3"/>
  <c r="AJ161" i="3" s="1"/>
  <c r="AI161" i="3"/>
  <c r="Q66" i="3"/>
  <c r="Q74" i="3"/>
  <c r="Q86" i="3"/>
  <c r="Y86" i="3" s="1"/>
  <c r="AH86" i="3" s="1"/>
  <c r="AI86" i="3" s="1"/>
  <c r="AJ86" i="3" s="1"/>
  <c r="S97" i="3"/>
  <c r="Q97" i="3"/>
  <c r="Q102" i="3"/>
  <c r="Y102" i="3" s="1"/>
  <c r="AH102" i="3" s="1"/>
  <c r="AI102" i="3" s="1"/>
  <c r="AJ102" i="3" s="1"/>
  <c r="S105" i="3"/>
  <c r="Q105" i="3"/>
  <c r="Q112" i="3"/>
  <c r="Y112" i="3" s="1"/>
  <c r="AH112" i="3" s="1"/>
  <c r="AI112" i="3" s="1"/>
  <c r="AJ112" i="3" s="1"/>
  <c r="S121" i="3"/>
  <c r="Q121" i="3"/>
  <c r="Q128" i="3"/>
  <c r="Y128" i="3" s="1"/>
  <c r="AH128" i="3" s="1"/>
  <c r="AI128" i="3" s="1"/>
  <c r="AJ128" i="3" s="1"/>
  <c r="S132" i="3"/>
  <c r="Q132" i="3"/>
  <c r="T153" i="3"/>
  <c r="AB145" i="3"/>
  <c r="Y146" i="3"/>
  <c r="AH146" i="3" s="1"/>
  <c r="AI146" i="3" s="1"/>
  <c r="AJ146" i="3" s="1"/>
  <c r="AB151" i="3"/>
  <c r="V164" i="3"/>
  <c r="AE163" i="3"/>
  <c r="AE164" i="3" s="1"/>
  <c r="U133" i="3"/>
  <c r="S91" i="3"/>
  <c r="Q91" i="3"/>
  <c r="S107" i="3"/>
  <c r="Q107" i="3"/>
  <c r="S123" i="3"/>
  <c r="Q123" i="3"/>
  <c r="AB139" i="3"/>
  <c r="Q152" i="3"/>
  <c r="S152" i="3"/>
  <c r="AF153" i="3"/>
  <c r="AB149" i="3"/>
  <c r="AI156" i="3"/>
  <c r="AH157" i="3"/>
  <c r="AG164" i="3"/>
  <c r="W185" i="3"/>
  <c r="AD230" i="3"/>
  <c r="AD234" i="3" s="1"/>
  <c r="U234" i="3"/>
  <c r="T133" i="3"/>
  <c r="AC82" i="3"/>
  <c r="AC133" i="3" s="1"/>
  <c r="X153" i="3"/>
  <c r="S140" i="3"/>
  <c r="AB147" i="3"/>
  <c r="H164" i="3"/>
  <c r="S162" i="3"/>
  <c r="AH164" i="3"/>
  <c r="AG185" i="3"/>
  <c r="AI235" i="3"/>
  <c r="AH236" i="3"/>
  <c r="X185" i="3"/>
  <c r="AB239" i="3"/>
  <c r="AB260" i="3"/>
  <c r="V133" i="3"/>
  <c r="AE82" i="3"/>
  <c r="AB143" i="3"/>
  <c r="T157" i="3"/>
  <c r="T164" i="3"/>
  <c r="AC233" i="3"/>
  <c r="AC234" i="3" s="1"/>
  <c r="Y233" i="3"/>
  <c r="AH233" i="3" s="1"/>
  <c r="AI233" i="3" s="1"/>
  <c r="AJ233" i="3" s="1"/>
  <c r="T234" i="3"/>
  <c r="Q239" i="3"/>
  <c r="Y239" i="3" s="1"/>
  <c r="AH239" i="3" s="1"/>
  <c r="AI239" i="3" s="1"/>
  <c r="AJ239" i="3" s="1"/>
  <c r="AG153" i="3"/>
  <c r="AB141" i="3"/>
  <c r="S150" i="3"/>
  <c r="S165" i="3"/>
  <c r="Q165" i="3"/>
  <c r="AF185" i="3"/>
  <c r="T185" i="3"/>
  <c r="Z154" i="3"/>
  <c r="Z155" i="3" s="1"/>
  <c r="AC185" i="3"/>
  <c r="S170" i="3"/>
  <c r="Y170" i="3" s="1"/>
  <c r="AH170" i="3" s="1"/>
  <c r="AI170" i="3" s="1"/>
  <c r="AJ170" i="3" s="1"/>
  <c r="AG170" i="3"/>
  <c r="AE187" i="3"/>
  <c r="AE190" i="3" s="1"/>
  <c r="V190" i="3"/>
  <c r="AB154" i="3"/>
  <c r="W236" i="3"/>
  <c r="AF235" i="3"/>
  <c r="AF236" i="3" s="1"/>
  <c r="Y172" i="3"/>
  <c r="AH172" i="3" s="1"/>
  <c r="AI172" i="3" s="1"/>
  <c r="AJ172" i="3" s="1"/>
  <c r="Y180" i="3"/>
  <c r="AH180" i="3" s="1"/>
  <c r="AI180" i="3" s="1"/>
  <c r="AJ180" i="3" s="1"/>
  <c r="H190" i="3"/>
  <c r="S186" i="3"/>
  <c r="Y186" i="3" s="1"/>
  <c r="V234" i="3"/>
  <c r="AJ230" i="3"/>
  <c r="AB258" i="3"/>
  <c r="AN258" i="3" s="1"/>
  <c r="S273" i="3"/>
  <c r="Q273" i="3"/>
  <c r="Y273" i="3" s="1"/>
  <c r="AH273" i="3" s="1"/>
  <c r="AI273" i="3" s="1"/>
  <c r="AJ273" i="3" s="1"/>
  <c r="AB255" i="3"/>
  <c r="AN255" i="3" s="1"/>
  <c r="Z255" i="3"/>
  <c r="AB256" i="3"/>
  <c r="U153" i="3"/>
  <c r="W155" i="3"/>
  <c r="Y157" i="3"/>
  <c r="T161" i="3"/>
  <c r="X164" i="3"/>
  <c r="S189" i="3"/>
  <c r="Q189" i="3"/>
  <c r="Q235" i="3"/>
  <c r="Q236" i="3" s="1"/>
  <c r="H236" i="3"/>
  <c r="S235" i="3"/>
  <c r="V153" i="3"/>
  <c r="X155" i="3"/>
  <c r="AB159" i="3"/>
  <c r="U161" i="3"/>
  <c r="Y164" i="3"/>
  <c r="U190" i="3"/>
  <c r="Z229" i="3"/>
  <c r="Z231" i="3"/>
  <c r="AG232" i="3"/>
  <c r="AG234" i="3" s="1"/>
  <c r="W153" i="3"/>
  <c r="Y155" i="3"/>
  <c r="V161" i="3"/>
  <c r="Y171" i="3"/>
  <c r="AH171" i="3" s="1"/>
  <c r="Y173" i="3"/>
  <c r="AH173" i="3" s="1"/>
  <c r="AI173" i="3" s="1"/>
  <c r="AJ173" i="3" s="1"/>
  <c r="Y183" i="3"/>
  <c r="AH183" i="3" s="1"/>
  <c r="AI183" i="3" s="1"/>
  <c r="AJ183" i="3" s="1"/>
  <c r="S187" i="3"/>
  <c r="Q187" i="3"/>
  <c r="AN229" i="3"/>
  <c r="AE230" i="3"/>
  <c r="AE234" i="3" s="1"/>
  <c r="AG240" i="3"/>
  <c r="X247" i="3"/>
  <c r="U185" i="3"/>
  <c r="AD165" i="3"/>
  <c r="AD185" i="3" s="1"/>
  <c r="Q166" i="3"/>
  <c r="Y166" i="3" s="1"/>
  <c r="AH166" i="3" s="1"/>
  <c r="AI166" i="3" s="1"/>
  <c r="AJ166" i="3" s="1"/>
  <c r="S230" i="3"/>
  <c r="Q230" i="3"/>
  <c r="Q234" i="3" s="1"/>
  <c r="H234" i="3"/>
  <c r="AF234" i="3"/>
  <c r="V236" i="3"/>
  <c r="AE235" i="3"/>
  <c r="AE236" i="3" s="1"/>
  <c r="H247" i="3"/>
  <c r="S237" i="3"/>
  <c r="Q237" i="3"/>
  <c r="S262" i="3"/>
  <c r="Q262" i="3"/>
  <c r="X190" i="3"/>
  <c r="AG301" i="3"/>
  <c r="AB277" i="3"/>
  <c r="AC186" i="3"/>
  <c r="AC190" i="3" s="1"/>
  <c r="Q191" i="3"/>
  <c r="Q229" i="3" s="1"/>
  <c r="Q267" i="3"/>
  <c r="Q268" i="3" s="1"/>
  <c r="H268" i="3"/>
  <c r="S267" i="3"/>
  <c r="AH269" i="3"/>
  <c r="U247" i="3"/>
  <c r="AB241" i="3"/>
  <c r="AC266" i="3"/>
  <c r="AB252" i="3"/>
  <c r="AB283" i="3"/>
  <c r="Z297" i="3"/>
  <c r="V247" i="3"/>
  <c r="AB238" i="3"/>
  <c r="Y241" i="3"/>
  <c r="AH241" i="3" s="1"/>
  <c r="AI241" i="3" s="1"/>
  <c r="AJ241" i="3" s="1"/>
  <c r="AB249" i="3"/>
  <c r="S254" i="3"/>
  <c r="Q254" i="3"/>
  <c r="AD235" i="3"/>
  <c r="AD236" i="3" s="1"/>
  <c r="U236" i="3"/>
  <c r="AB245" i="3"/>
  <c r="Z245" i="3"/>
  <c r="AF238" i="3"/>
  <c r="AF247" i="3" s="1"/>
  <c r="S263" i="3"/>
  <c r="Q263" i="3"/>
  <c r="V301" i="3"/>
  <c r="S278" i="3"/>
  <c r="Q278" i="3"/>
  <c r="AB295" i="3"/>
  <c r="T247" i="3"/>
  <c r="AC237" i="3"/>
  <c r="AC247" i="3" s="1"/>
  <c r="Q252" i="3"/>
  <c r="Y252" i="3" s="1"/>
  <c r="AH252" i="3" s="1"/>
  <c r="AI252" i="3" s="1"/>
  <c r="AJ252" i="3" s="1"/>
  <c r="Q256" i="3"/>
  <c r="Y256" i="3" s="1"/>
  <c r="AH256" i="3" s="1"/>
  <c r="AI256" i="3" s="1"/>
  <c r="AJ256" i="3" s="1"/>
  <c r="S257" i="3"/>
  <c r="Q257" i="3"/>
  <c r="AF301" i="3"/>
  <c r="S291" i="3"/>
  <c r="AD237" i="3"/>
  <c r="AD247" i="3" s="1"/>
  <c r="Q240" i="3"/>
  <c r="Y240" i="3" s="1"/>
  <c r="AH240" i="3" s="1"/>
  <c r="AI240" i="3" s="1"/>
  <c r="AJ240" i="3" s="1"/>
  <c r="Q244" i="3"/>
  <c r="Y244" i="3" s="1"/>
  <c r="AH244" i="3" s="1"/>
  <c r="AI244" i="3" s="1"/>
  <c r="AJ244" i="3" s="1"/>
  <c r="AH267" i="3"/>
  <c r="AB270" i="3"/>
  <c r="Q277" i="3"/>
  <c r="Y277" i="3" s="1"/>
  <c r="AH277" i="3" s="1"/>
  <c r="AI277" i="3" s="1"/>
  <c r="AJ277" i="3" s="1"/>
  <c r="S282" i="3"/>
  <c r="Q282" i="3"/>
  <c r="AN284" i="3"/>
  <c r="Y290" i="3"/>
  <c r="Z290" i="3" s="1"/>
  <c r="AB299" i="3"/>
  <c r="W301" i="3"/>
  <c r="AE237" i="3"/>
  <c r="AE247" i="3" s="1"/>
  <c r="X266" i="3"/>
  <c r="S261" i="3"/>
  <c r="Q261" i="3"/>
  <c r="AB275" i="3"/>
  <c r="S288" i="3"/>
  <c r="Q288" i="3"/>
  <c r="S294" i="3"/>
  <c r="Q294" i="3"/>
  <c r="H301" i="3"/>
  <c r="H266" i="3"/>
  <c r="AB269" i="3"/>
  <c r="Y275" i="3"/>
  <c r="AH275" i="3" s="1"/>
  <c r="AI275" i="3" s="1"/>
  <c r="AJ275" i="3" s="1"/>
  <c r="F316" i="3"/>
  <c r="Y264" i="3"/>
  <c r="AH264" i="3" s="1"/>
  <c r="AI264" i="3" s="1"/>
  <c r="AJ264" i="3" s="1"/>
  <c r="AG267" i="3"/>
  <c r="AG268" i="3" s="1"/>
  <c r="X268" i="3"/>
  <c r="AD301" i="3"/>
  <c r="AB279" i="3"/>
  <c r="S298" i="3"/>
  <c r="Q298" i="3"/>
  <c r="Q242" i="3"/>
  <c r="Y242" i="3" s="1"/>
  <c r="AH242" i="3" s="1"/>
  <c r="AI242" i="3" s="1"/>
  <c r="AJ242" i="3" s="1"/>
  <c r="AB248" i="3"/>
  <c r="Y249" i="3"/>
  <c r="AH249" i="3" s="1"/>
  <c r="AI249" i="3" s="1"/>
  <c r="AJ249" i="3" s="1"/>
  <c r="S259" i="3"/>
  <c r="Q259" i="3"/>
  <c r="S274" i="3"/>
  <c r="Q274" i="3"/>
  <c r="Y300" i="3"/>
  <c r="AH300" i="3" s="1"/>
  <c r="AI300" i="3" s="1"/>
  <c r="AJ300" i="3" s="1"/>
  <c r="P316" i="3"/>
  <c r="Z284" i="3"/>
  <c r="T301" i="3"/>
  <c r="AE269" i="3"/>
  <c r="AE301" i="3" s="1"/>
  <c r="AC269" i="3"/>
  <c r="AC301" i="3" s="1"/>
  <c r="AH44" i="3" l="1"/>
  <c r="AI44" i="3" s="1"/>
  <c r="AJ44" i="3" s="1"/>
  <c r="Z44" i="3"/>
  <c r="AN100" i="3"/>
  <c r="AN245" i="3"/>
  <c r="Z120" i="3"/>
  <c r="Z280" i="3"/>
  <c r="AB280" i="3" s="1"/>
  <c r="AN280" i="3" s="1"/>
  <c r="Z279" i="3"/>
  <c r="Z246" i="3"/>
  <c r="AN139" i="3"/>
  <c r="AN120" i="3"/>
  <c r="AN279" i="3"/>
  <c r="Z292" i="3"/>
  <c r="Y232" i="3"/>
  <c r="Z232" i="3" s="1"/>
  <c r="Z31" i="3"/>
  <c r="Q81" i="3"/>
  <c r="Y289" i="3"/>
  <c r="AH289" i="3" s="1"/>
  <c r="AI289" i="3" s="1"/>
  <c r="AJ289" i="3" s="1"/>
  <c r="Z272" i="3"/>
  <c r="Y288" i="3"/>
  <c r="AH288" i="3" s="1"/>
  <c r="AI288" i="3" s="1"/>
  <c r="AJ288" i="3" s="1"/>
  <c r="AN158" i="3"/>
  <c r="AN159" i="3" s="1"/>
  <c r="AB44" i="3"/>
  <c r="AN44" i="3" s="1"/>
  <c r="Y27" i="3"/>
  <c r="AH27" i="3" s="1"/>
  <c r="AI27" i="3" s="1"/>
  <c r="AJ27" i="3" s="1"/>
  <c r="Y177" i="3"/>
  <c r="AH177" i="3" s="1"/>
  <c r="AI177" i="3" s="1"/>
  <c r="AJ177" i="3" s="1"/>
  <c r="Z139" i="3"/>
  <c r="AN31" i="3"/>
  <c r="AN292" i="3"/>
  <c r="Y263" i="3"/>
  <c r="AH263" i="3" s="1"/>
  <c r="AI263" i="3" s="1"/>
  <c r="AJ263" i="3" s="1"/>
  <c r="AN8" i="3"/>
  <c r="AN42" i="3"/>
  <c r="AB178" i="3"/>
  <c r="Y101" i="3"/>
  <c r="AH101" i="3" s="1"/>
  <c r="AI101" i="3" s="1"/>
  <c r="AJ101" i="3" s="1"/>
  <c r="Y18" i="3"/>
  <c r="AH18" i="3" s="1"/>
  <c r="AI18" i="3" s="1"/>
  <c r="AJ18" i="3" s="1"/>
  <c r="Y251" i="3"/>
  <c r="AH251" i="3" s="1"/>
  <c r="AH266" i="3" s="1"/>
  <c r="Y111" i="3"/>
  <c r="AH111" i="3" s="1"/>
  <c r="AI111" i="3" s="1"/>
  <c r="AJ111" i="3" s="1"/>
  <c r="Y16" i="3"/>
  <c r="AH16" i="3" s="1"/>
  <c r="AI16" i="3" s="1"/>
  <c r="AJ16" i="3" s="1"/>
  <c r="AH137" i="3"/>
  <c r="AI137" i="3" s="1"/>
  <c r="AJ137" i="3" s="1"/>
  <c r="Z137" i="3"/>
  <c r="Z171" i="3"/>
  <c r="Y121" i="3"/>
  <c r="AH121" i="3" s="1"/>
  <c r="AI121" i="3" s="1"/>
  <c r="AJ121" i="3" s="1"/>
  <c r="Y103" i="3"/>
  <c r="AH103" i="3" s="1"/>
  <c r="AI103" i="3" s="1"/>
  <c r="AJ103" i="3" s="1"/>
  <c r="Z79" i="3"/>
  <c r="Z243" i="3"/>
  <c r="Y48" i="3"/>
  <c r="AH48" i="3" s="1"/>
  <c r="AI48" i="3" s="1"/>
  <c r="AJ48" i="3" s="1"/>
  <c r="AJ154" i="3"/>
  <c r="AJ155" i="3" s="1"/>
  <c r="Z124" i="3"/>
  <c r="Z271" i="3"/>
  <c r="AN188" i="3"/>
  <c r="AN124" i="3"/>
  <c r="Z56" i="3"/>
  <c r="Z16" i="3"/>
  <c r="Z45" i="3"/>
  <c r="Y176" i="3"/>
  <c r="AH176" i="3" s="1"/>
  <c r="AI176" i="3" s="1"/>
  <c r="AJ176" i="3" s="1"/>
  <c r="AB271" i="3"/>
  <c r="Y89" i="3"/>
  <c r="AH89" i="3" s="1"/>
  <c r="AI89" i="3" s="1"/>
  <c r="AJ89" i="3" s="1"/>
  <c r="AN56" i="3"/>
  <c r="AN296" i="3"/>
  <c r="Y125" i="3"/>
  <c r="AH125" i="3" s="1"/>
  <c r="AI125" i="3" s="1"/>
  <c r="AJ125" i="3" s="1"/>
  <c r="Z100" i="3"/>
  <c r="AM73" i="3"/>
  <c r="AN73" i="3" s="1"/>
  <c r="AN163" i="3"/>
  <c r="Y285" i="3"/>
  <c r="AH285" i="3" s="1"/>
  <c r="AI285" i="3" s="1"/>
  <c r="AJ285" i="3" s="1"/>
  <c r="AN285" i="3" s="1"/>
  <c r="Y167" i="3"/>
  <c r="AH167" i="3" s="1"/>
  <c r="AI167" i="3" s="1"/>
  <c r="AJ167" i="3" s="1"/>
  <c r="AN148" i="3"/>
  <c r="AH283" i="3"/>
  <c r="AI283" i="3" s="1"/>
  <c r="AJ283" i="3" s="1"/>
  <c r="Z283" i="3"/>
  <c r="AH179" i="3"/>
  <c r="Z179" i="3"/>
  <c r="AM68" i="3"/>
  <c r="AN68" i="3" s="1"/>
  <c r="AH135" i="3"/>
  <c r="AI135" i="3" s="1"/>
  <c r="AJ135" i="3" s="1"/>
  <c r="Z135" i="3"/>
  <c r="AH276" i="3"/>
  <c r="Z276" i="3"/>
  <c r="AH12" i="3"/>
  <c r="Z12" i="3"/>
  <c r="AE133" i="3"/>
  <c r="X302" i="3"/>
  <c r="Z49" i="3"/>
  <c r="Z25" i="3"/>
  <c r="AN265" i="3"/>
  <c r="Z296" i="3"/>
  <c r="Y259" i="3"/>
  <c r="AH259" i="3" s="1"/>
  <c r="AI259" i="3" s="1"/>
  <c r="AJ259" i="3" s="1"/>
  <c r="Y254" i="3"/>
  <c r="AH254" i="3" s="1"/>
  <c r="AI254" i="3" s="1"/>
  <c r="AJ254" i="3" s="1"/>
  <c r="AH248" i="3"/>
  <c r="AI248" i="3" s="1"/>
  <c r="Y187" i="3"/>
  <c r="AH187" i="3" s="1"/>
  <c r="AI187" i="3" s="1"/>
  <c r="AJ187" i="3" s="1"/>
  <c r="AN256" i="3"/>
  <c r="V302" i="3"/>
  <c r="Z172" i="3"/>
  <c r="Y91" i="3"/>
  <c r="AH91" i="3" s="1"/>
  <c r="AI91" i="3" s="1"/>
  <c r="AJ91" i="3" s="1"/>
  <c r="Y98" i="3"/>
  <c r="AH98" i="3" s="1"/>
  <c r="AI98" i="3" s="1"/>
  <c r="AJ98" i="3" s="1"/>
  <c r="Y85" i="3"/>
  <c r="AH85" i="3" s="1"/>
  <c r="AI85" i="3" s="1"/>
  <c r="AJ85" i="3" s="1"/>
  <c r="W302" i="3"/>
  <c r="Z84" i="3"/>
  <c r="AN38" i="3"/>
  <c r="AN49" i="3"/>
  <c r="Z250" i="3"/>
  <c r="Y46" i="3"/>
  <c r="AH46" i="3" s="1"/>
  <c r="AI46" i="3" s="1"/>
  <c r="AJ46" i="3" s="1"/>
  <c r="AB156" i="3"/>
  <c r="AB157" i="3" s="1"/>
  <c r="S157" i="3"/>
  <c r="AN151" i="3"/>
  <c r="Y174" i="3"/>
  <c r="AH174" i="3" s="1"/>
  <c r="AI174" i="3" s="1"/>
  <c r="AJ174" i="3" s="1"/>
  <c r="Z265" i="3"/>
  <c r="Z240" i="3"/>
  <c r="Z239" i="3"/>
  <c r="AN172" i="3"/>
  <c r="T302" i="3"/>
  <c r="AN57" i="3"/>
  <c r="AN250" i="3"/>
  <c r="AN241" i="3"/>
  <c r="Y97" i="3"/>
  <c r="AH97" i="3" s="1"/>
  <c r="AI97" i="3" s="1"/>
  <c r="AJ97" i="3" s="1"/>
  <c r="Z58" i="3"/>
  <c r="AB138" i="3"/>
  <c r="AN138" i="3" s="1"/>
  <c r="AN51" i="3"/>
  <c r="Y82" i="3"/>
  <c r="AH82" i="3" s="1"/>
  <c r="Z42" i="3"/>
  <c r="AN270" i="3"/>
  <c r="H302" i="3"/>
  <c r="H316" i="3" s="1"/>
  <c r="U302" i="3"/>
  <c r="S266" i="3"/>
  <c r="Y182" i="3"/>
  <c r="AH182" i="3" s="1"/>
  <c r="AI182" i="3" s="1"/>
  <c r="AJ182" i="3" s="1"/>
  <c r="AB11" i="3"/>
  <c r="AN11" i="3" s="1"/>
  <c r="AN246" i="3"/>
  <c r="Z156" i="3"/>
  <c r="Z157" i="3" s="1"/>
  <c r="Y123" i="3"/>
  <c r="AH123" i="3" s="1"/>
  <c r="AI123" i="3" s="1"/>
  <c r="AJ123" i="3" s="1"/>
  <c r="AN58" i="3"/>
  <c r="Y130" i="3"/>
  <c r="AH130" i="3" s="1"/>
  <c r="AI130" i="3" s="1"/>
  <c r="AJ130" i="3" s="1"/>
  <c r="S78" i="3"/>
  <c r="Z253" i="3"/>
  <c r="AH168" i="3"/>
  <c r="Z168" i="3"/>
  <c r="AH293" i="3"/>
  <c r="AI293" i="3" s="1"/>
  <c r="AJ293" i="3" s="1"/>
  <c r="Z293" i="3"/>
  <c r="AI10" i="3"/>
  <c r="AJ10" i="3" s="1"/>
  <c r="AN10" i="3"/>
  <c r="AH21" i="3"/>
  <c r="AI21" i="3" s="1"/>
  <c r="AJ21" i="3" s="1"/>
  <c r="Z21" i="3"/>
  <c r="Z149" i="3"/>
  <c r="Z286" i="3"/>
  <c r="AN40" i="3"/>
  <c r="AN141" i="3"/>
  <c r="Z108" i="3"/>
  <c r="Z53" i="3"/>
  <c r="Y142" i="3"/>
  <c r="AH142" i="3" s="1"/>
  <c r="AI142" i="3" s="1"/>
  <c r="AJ142" i="3" s="1"/>
  <c r="AN61" i="3"/>
  <c r="Z40" i="3"/>
  <c r="Z188" i="3"/>
  <c r="Y287" i="3"/>
  <c r="AH287" i="3" s="1"/>
  <c r="AI287" i="3" s="1"/>
  <c r="AJ287" i="3" s="1"/>
  <c r="Z258" i="3"/>
  <c r="Z147" i="3"/>
  <c r="Z43" i="3"/>
  <c r="AB43" i="3" s="1"/>
  <c r="AN180" i="3"/>
  <c r="AN147" i="3"/>
  <c r="Z116" i="3"/>
  <c r="AN27" i="3"/>
  <c r="Z300" i="3"/>
  <c r="AN275" i="3"/>
  <c r="AN252" i="3"/>
  <c r="Z183" i="3"/>
  <c r="AN239" i="3"/>
  <c r="Q78" i="3"/>
  <c r="AN108" i="3"/>
  <c r="AN86" i="3"/>
  <c r="Y109" i="3"/>
  <c r="AH109" i="3" s="1"/>
  <c r="AI109" i="3" s="1"/>
  <c r="AJ109" i="3" s="1"/>
  <c r="Z60" i="3"/>
  <c r="Z59" i="3"/>
  <c r="Z47" i="3"/>
  <c r="Z8" i="3"/>
  <c r="AM75" i="3"/>
  <c r="AN75" i="3" s="1"/>
  <c r="AN84" i="3"/>
  <c r="AN233" i="3"/>
  <c r="AN149" i="3"/>
  <c r="Z96" i="3"/>
  <c r="AN25" i="3"/>
  <c r="AN53" i="3"/>
  <c r="AN295" i="3"/>
  <c r="AN281" i="3"/>
  <c r="AN300" i="3"/>
  <c r="AN243" i="3"/>
  <c r="AN242" i="3"/>
  <c r="Y184" i="3"/>
  <c r="AN146" i="3"/>
  <c r="AN96" i="3"/>
  <c r="Z90" i="3"/>
  <c r="AN59" i="3"/>
  <c r="Z51" i="3"/>
  <c r="Z55" i="3"/>
  <c r="AN166" i="3"/>
  <c r="Z141" i="3"/>
  <c r="AN116" i="3"/>
  <c r="Y136" i="3"/>
  <c r="AH136" i="3" s="1"/>
  <c r="AI136" i="3" s="1"/>
  <c r="AJ136" i="3" s="1"/>
  <c r="Z275" i="3"/>
  <c r="Y298" i="3"/>
  <c r="AH298" i="3" s="1"/>
  <c r="AI298" i="3" s="1"/>
  <c r="AJ298" i="3" s="1"/>
  <c r="Z281" i="3"/>
  <c r="Y278" i="3"/>
  <c r="AH278" i="3" s="1"/>
  <c r="AI278" i="3" s="1"/>
  <c r="AJ278" i="3" s="1"/>
  <c r="Z241" i="3"/>
  <c r="Z173" i="3"/>
  <c r="AN240" i="3"/>
  <c r="AN178" i="3"/>
  <c r="Z163" i="3"/>
  <c r="AN181" i="3"/>
  <c r="Y127" i="3"/>
  <c r="AH127" i="3" s="1"/>
  <c r="AI127" i="3" s="1"/>
  <c r="AJ127" i="3" s="1"/>
  <c r="Z57" i="3"/>
  <c r="Z27" i="3"/>
  <c r="AM66" i="3"/>
  <c r="AN66" i="3" s="1"/>
  <c r="AH118" i="3"/>
  <c r="Z118" i="3"/>
  <c r="AB9" i="3"/>
  <c r="Y9" i="3"/>
  <c r="AH9" i="3" s="1"/>
  <c r="AI9" i="3" s="1"/>
  <c r="AJ9" i="3" s="1"/>
  <c r="Y274" i="3"/>
  <c r="AH274" i="3" s="1"/>
  <c r="AI274" i="3" s="1"/>
  <c r="AJ274" i="3" s="1"/>
  <c r="Q266" i="3"/>
  <c r="Y294" i="3"/>
  <c r="AH294" i="3" s="1"/>
  <c r="AI294" i="3" s="1"/>
  <c r="AJ294" i="3" s="1"/>
  <c r="Y261" i="3"/>
  <c r="AH261" i="3" s="1"/>
  <c r="AI261" i="3" s="1"/>
  <c r="AJ261" i="3" s="1"/>
  <c r="Y257" i="3"/>
  <c r="AH257" i="3" s="1"/>
  <c r="AI257" i="3" s="1"/>
  <c r="AJ257" i="3" s="1"/>
  <c r="Z295" i="3"/>
  <c r="AB263" i="3"/>
  <c r="AN263" i="3" s="1"/>
  <c r="Z263" i="3"/>
  <c r="Z233" i="3"/>
  <c r="AN286" i="3"/>
  <c r="Z252" i="3"/>
  <c r="AI269" i="3"/>
  <c r="Q247" i="3"/>
  <c r="Y237" i="3"/>
  <c r="Z237" i="3" s="1"/>
  <c r="S234" i="3"/>
  <c r="AB230" i="3"/>
  <c r="Z230" i="3"/>
  <c r="S190" i="3"/>
  <c r="AB186" i="3"/>
  <c r="Z186" i="3"/>
  <c r="AB150" i="3"/>
  <c r="Y150" i="3"/>
  <c r="AH150" i="3" s="1"/>
  <c r="AI150" i="3" s="1"/>
  <c r="AJ150" i="3" s="1"/>
  <c r="Z143" i="3"/>
  <c r="Z178" i="3"/>
  <c r="AB91" i="3"/>
  <c r="Z145" i="3"/>
  <c r="AB121" i="3"/>
  <c r="AN121" i="3" s="1"/>
  <c r="Z121" i="3"/>
  <c r="AB97" i="3"/>
  <c r="AN175" i="3"/>
  <c r="AN128" i="3"/>
  <c r="Y87" i="3"/>
  <c r="AH87" i="3" s="1"/>
  <c r="AI87" i="3" s="1"/>
  <c r="AJ87" i="3" s="1"/>
  <c r="AN135" i="3"/>
  <c r="Z148" i="3"/>
  <c r="Y99" i="3"/>
  <c r="AH99" i="3" s="1"/>
  <c r="AI99" i="3" s="1"/>
  <c r="AJ99" i="3" s="1"/>
  <c r="AN160" i="3"/>
  <c r="AN161" i="3" s="1"/>
  <c r="AB111" i="3"/>
  <c r="AN111" i="3" s="1"/>
  <c r="Z111" i="3"/>
  <c r="Z138" i="3"/>
  <c r="AM74" i="3"/>
  <c r="AN74" i="3" s="1"/>
  <c r="AB109" i="3"/>
  <c r="Z78" i="3"/>
  <c r="AG63" i="3"/>
  <c r="AB85" i="3"/>
  <c r="Y113" i="3"/>
  <c r="AH113" i="3" s="1"/>
  <c r="AI113" i="3" s="1"/>
  <c r="AJ113" i="3" s="1"/>
  <c r="AM69" i="3"/>
  <c r="AN69" i="3" s="1"/>
  <c r="Y117" i="3"/>
  <c r="AH117" i="3" s="1"/>
  <c r="AI117" i="3" s="1"/>
  <c r="AJ117" i="3" s="1"/>
  <c r="Y52" i="3"/>
  <c r="AH52" i="3" s="1"/>
  <c r="AI52" i="3" s="1"/>
  <c r="AJ52" i="3" s="1"/>
  <c r="AN22" i="3"/>
  <c r="S19" i="3"/>
  <c r="AB7" i="3"/>
  <c r="AN43" i="3"/>
  <c r="AN45" i="3"/>
  <c r="Z23" i="3"/>
  <c r="AN47" i="3"/>
  <c r="Z41" i="3"/>
  <c r="Z39" i="3"/>
  <c r="AN299" i="3"/>
  <c r="AB189" i="3"/>
  <c r="AD19" i="3"/>
  <c r="AE19" i="3"/>
  <c r="AB274" i="3"/>
  <c r="AB294" i="3"/>
  <c r="AB261" i="3"/>
  <c r="AB257" i="3"/>
  <c r="Z251" i="3"/>
  <c r="Z238" i="3"/>
  <c r="S247" i="3"/>
  <c r="AB237" i="3"/>
  <c r="AI171" i="3"/>
  <c r="AJ171" i="3" s="1"/>
  <c r="AB235" i="3"/>
  <c r="S236" i="3"/>
  <c r="Z235" i="3"/>
  <c r="Z236" i="3" s="1"/>
  <c r="AN143" i="3"/>
  <c r="S164" i="3"/>
  <c r="AB162" i="3"/>
  <c r="Z162" i="3"/>
  <c r="Z164" i="3" s="1"/>
  <c r="AN145" i="3"/>
  <c r="Z114" i="3"/>
  <c r="AB87" i="3"/>
  <c r="AB99" i="3"/>
  <c r="AM71" i="3"/>
  <c r="AN71" i="3" s="1"/>
  <c r="Z104" i="3"/>
  <c r="AB113" i="3"/>
  <c r="AB117" i="3"/>
  <c r="AB52" i="3"/>
  <c r="Z22" i="3"/>
  <c r="AN14" i="3"/>
  <c r="Z10" i="3"/>
  <c r="AN41" i="3"/>
  <c r="AN39" i="3"/>
  <c r="AN55" i="3"/>
  <c r="AB131" i="3"/>
  <c r="AB110" i="3"/>
  <c r="AI267" i="3"/>
  <c r="AH268" i="3"/>
  <c r="AB144" i="3"/>
  <c r="Y20" i="3"/>
  <c r="Q29" i="3"/>
  <c r="Z242" i="3"/>
  <c r="Y282" i="3"/>
  <c r="AH282" i="3" s="1"/>
  <c r="AI282" i="3" s="1"/>
  <c r="AJ282" i="3" s="1"/>
  <c r="AN271" i="3"/>
  <c r="AN238" i="3"/>
  <c r="S268" i="3"/>
  <c r="Z267" i="3"/>
  <c r="Z268" i="3" s="1"/>
  <c r="AB267" i="3"/>
  <c r="Z277" i="3"/>
  <c r="AG247" i="3"/>
  <c r="Z181" i="3"/>
  <c r="AB187" i="3"/>
  <c r="Z166" i="3"/>
  <c r="AB273" i="3"/>
  <c r="AN273" i="3" s="1"/>
  <c r="Z273" i="3"/>
  <c r="Z180" i="3"/>
  <c r="AN183" i="3"/>
  <c r="AB123" i="3"/>
  <c r="AN173" i="3"/>
  <c r="AN114" i="3"/>
  <c r="AB136" i="3"/>
  <c r="Y119" i="3"/>
  <c r="AH119" i="3" s="1"/>
  <c r="AI119" i="3" s="1"/>
  <c r="AJ119" i="3" s="1"/>
  <c r="Z126" i="3"/>
  <c r="Y83" i="3"/>
  <c r="Z83" i="3" s="1"/>
  <c r="Q133" i="3"/>
  <c r="AG19" i="3"/>
  <c r="AB92" i="3"/>
  <c r="AN92" i="3" s="1"/>
  <c r="Z92" i="3"/>
  <c r="AN104" i="3"/>
  <c r="AN60" i="3"/>
  <c r="AM77" i="3"/>
  <c r="AN77" i="3" s="1"/>
  <c r="AB28" i="3"/>
  <c r="Y106" i="3"/>
  <c r="AH106" i="3" s="1"/>
  <c r="AI106" i="3" s="1"/>
  <c r="AJ106" i="3" s="1"/>
  <c r="AB101" i="3"/>
  <c r="Z36" i="3"/>
  <c r="AN35" i="3"/>
  <c r="Y17" i="3"/>
  <c r="AH17" i="3" s="1"/>
  <c r="AI17" i="3" s="1"/>
  <c r="AJ17" i="3" s="1"/>
  <c r="AB32" i="3"/>
  <c r="AN32" i="3" s="1"/>
  <c r="Z32" i="3"/>
  <c r="AJ30" i="3"/>
  <c r="AJ33" i="3" s="1"/>
  <c r="AI33" i="3"/>
  <c r="AB15" i="3"/>
  <c r="AB140" i="3"/>
  <c r="Y140" i="3"/>
  <c r="AH140" i="3" s="1"/>
  <c r="AI140" i="3" s="1"/>
  <c r="AJ140" i="3" s="1"/>
  <c r="AB103" i="3"/>
  <c r="AN103" i="3" s="1"/>
  <c r="Q62" i="3"/>
  <c r="Y34" i="3"/>
  <c r="Z264" i="3"/>
  <c r="S301" i="3"/>
  <c r="AB282" i="3"/>
  <c r="AN282" i="3" s="1"/>
  <c r="Z282" i="3"/>
  <c r="AN277" i="3"/>
  <c r="AB152" i="3"/>
  <c r="AB119" i="3"/>
  <c r="S133" i="3"/>
  <c r="AN126" i="3"/>
  <c r="AB83" i="3"/>
  <c r="Y54" i="3"/>
  <c r="AH54" i="3" s="1"/>
  <c r="AI54" i="3" s="1"/>
  <c r="AJ54" i="3" s="1"/>
  <c r="Z26" i="3"/>
  <c r="AB26" i="3"/>
  <c r="AN26" i="3" s="1"/>
  <c r="AH94" i="3"/>
  <c r="Z94" i="3"/>
  <c r="AB106" i="3"/>
  <c r="Y129" i="3"/>
  <c r="AH129" i="3" s="1"/>
  <c r="AI129" i="3" s="1"/>
  <c r="AJ129" i="3" s="1"/>
  <c r="Y24" i="3"/>
  <c r="AH24" i="3" s="1"/>
  <c r="AI24" i="3" s="1"/>
  <c r="AJ24" i="3" s="1"/>
  <c r="Z35" i="3"/>
  <c r="AB17" i="3"/>
  <c r="AF33" i="3"/>
  <c r="Y13" i="3"/>
  <c r="AH13" i="3" s="1"/>
  <c r="AI13" i="3" s="1"/>
  <c r="AJ13" i="3" s="1"/>
  <c r="AB107" i="3"/>
  <c r="Z128" i="3"/>
  <c r="Q301" i="3"/>
  <c r="AB288" i="3"/>
  <c r="AN288" i="3" s="1"/>
  <c r="Z288" i="3"/>
  <c r="Z244" i="3"/>
  <c r="AB254" i="3"/>
  <c r="Y262" i="3"/>
  <c r="AH262" i="3" s="1"/>
  <c r="AI262" i="3" s="1"/>
  <c r="AJ262" i="3" s="1"/>
  <c r="Y234" i="3"/>
  <c r="AH232" i="3"/>
  <c r="AN290" i="3"/>
  <c r="Z170" i="3"/>
  <c r="AB170" i="3"/>
  <c r="AN170" i="3" s="1"/>
  <c r="Q185" i="3"/>
  <c r="Y165" i="3"/>
  <c r="Z260" i="3"/>
  <c r="AJ235" i="3"/>
  <c r="AJ236" i="3" s="1"/>
  <c r="AI236" i="3"/>
  <c r="AJ156" i="3"/>
  <c r="AJ157" i="3" s="1"/>
  <c r="AI157" i="3"/>
  <c r="Y152" i="3"/>
  <c r="AH152" i="3" s="1"/>
  <c r="AI152" i="3" s="1"/>
  <c r="AJ152" i="3" s="1"/>
  <c r="Y132" i="3"/>
  <c r="AH132" i="3" s="1"/>
  <c r="AI132" i="3" s="1"/>
  <c r="AJ132" i="3" s="1"/>
  <c r="Y105" i="3"/>
  <c r="AH105" i="3" s="1"/>
  <c r="AI105" i="3" s="1"/>
  <c r="AJ105" i="3" s="1"/>
  <c r="Z112" i="3"/>
  <c r="Q190" i="3"/>
  <c r="Y115" i="3"/>
  <c r="AH115" i="3" s="1"/>
  <c r="AI115" i="3" s="1"/>
  <c r="AJ115" i="3" s="1"/>
  <c r="AB127" i="3"/>
  <c r="AN127" i="3" s="1"/>
  <c r="AM67" i="3"/>
  <c r="AN67" i="3" s="1"/>
  <c r="AC19" i="3"/>
  <c r="AC302" i="3" s="1"/>
  <c r="AB125" i="3"/>
  <c r="Z125" i="3"/>
  <c r="AB89" i="3"/>
  <c r="AF19" i="3"/>
  <c r="Y95" i="3"/>
  <c r="AH95" i="3" s="1"/>
  <c r="AI95" i="3" s="1"/>
  <c r="AJ95" i="3" s="1"/>
  <c r="AB54" i="3"/>
  <c r="Y122" i="3"/>
  <c r="AH122" i="3" s="1"/>
  <c r="AI122" i="3" s="1"/>
  <c r="AJ122" i="3" s="1"/>
  <c r="AB24" i="3"/>
  <c r="Q153" i="3"/>
  <c r="Y134" i="3"/>
  <c r="Z88" i="3"/>
  <c r="AB88" i="3"/>
  <c r="AN88" i="3" s="1"/>
  <c r="Z102" i="3"/>
  <c r="AB129" i="3"/>
  <c r="Y93" i="3"/>
  <c r="AH93" i="3" s="1"/>
  <c r="AI93" i="3" s="1"/>
  <c r="AJ93" i="3" s="1"/>
  <c r="Z37" i="3"/>
  <c r="Q19" i="3"/>
  <c r="Y7" i="3"/>
  <c r="Z7" i="3" s="1"/>
  <c r="AB13" i="3"/>
  <c r="Y28" i="3"/>
  <c r="AH28" i="3" s="1"/>
  <c r="AI28" i="3" s="1"/>
  <c r="AJ28" i="3" s="1"/>
  <c r="Q33" i="3"/>
  <c r="AN36" i="3"/>
  <c r="AN249" i="3"/>
  <c r="AH186" i="3"/>
  <c r="AN23" i="3"/>
  <c r="AB259" i="3"/>
  <c r="AN259" i="3" s="1"/>
  <c r="AB298" i="3"/>
  <c r="Z299" i="3"/>
  <c r="Z270" i="3"/>
  <c r="AB291" i="3"/>
  <c r="Y291" i="3"/>
  <c r="AH291" i="3" s="1"/>
  <c r="AI291" i="3" s="1"/>
  <c r="AJ291" i="3" s="1"/>
  <c r="AB278" i="3"/>
  <c r="AN244" i="3"/>
  <c r="Z249" i="3"/>
  <c r="AN264" i="3"/>
  <c r="AB262" i="3"/>
  <c r="Z175" i="3"/>
  <c r="Y189" i="3"/>
  <c r="AH189" i="3" s="1"/>
  <c r="AI189" i="3" s="1"/>
  <c r="AJ189" i="3" s="1"/>
  <c r="Z256" i="3"/>
  <c r="AB155" i="3"/>
  <c r="S185" i="3"/>
  <c r="AB165" i="3"/>
  <c r="AN260" i="3"/>
  <c r="AN176" i="3"/>
  <c r="Z146" i="3"/>
  <c r="Y107" i="3"/>
  <c r="AH107" i="3" s="1"/>
  <c r="AI107" i="3" s="1"/>
  <c r="AJ107" i="3" s="1"/>
  <c r="Z151" i="3"/>
  <c r="AB132" i="3"/>
  <c r="AB105" i="3"/>
  <c r="Y131" i="3"/>
  <c r="AH131" i="3" s="1"/>
  <c r="AI131" i="3" s="1"/>
  <c r="AJ131" i="3" s="1"/>
  <c r="AN112" i="3"/>
  <c r="AB115" i="3"/>
  <c r="Y144" i="3"/>
  <c r="AH144" i="3" s="1"/>
  <c r="AI144" i="3" s="1"/>
  <c r="AJ144" i="3" s="1"/>
  <c r="Y110" i="3"/>
  <c r="AH110" i="3" s="1"/>
  <c r="AI110" i="3" s="1"/>
  <c r="AJ110" i="3" s="1"/>
  <c r="Z86" i="3"/>
  <c r="AB142" i="3"/>
  <c r="AB95" i="3"/>
  <c r="AB122" i="3"/>
  <c r="Y50" i="3"/>
  <c r="AH50" i="3" s="1"/>
  <c r="AI50" i="3" s="1"/>
  <c r="AJ50" i="3" s="1"/>
  <c r="AB50" i="3"/>
  <c r="S153" i="3"/>
  <c r="AB134" i="3"/>
  <c r="AI82" i="3"/>
  <c r="AN102" i="3"/>
  <c r="AB93" i="3"/>
  <c r="S62" i="3"/>
  <c r="Z14" i="3"/>
  <c r="AN37" i="3"/>
  <c r="AN90" i="3"/>
  <c r="Z61" i="3"/>
  <c r="Y15" i="3"/>
  <c r="AH15" i="3" s="1"/>
  <c r="AI15" i="3" s="1"/>
  <c r="AJ15" i="3" s="1"/>
  <c r="AB30" i="3"/>
  <c r="S33" i="3"/>
  <c r="Z30" i="3"/>
  <c r="AN99" i="3" l="1"/>
  <c r="AN142" i="3"/>
  <c r="AN89" i="3"/>
  <c r="Z177" i="3"/>
  <c r="AN101" i="3"/>
  <c r="AN274" i="3"/>
  <c r="Z142" i="3"/>
  <c r="Z89" i="3"/>
  <c r="AN187" i="3"/>
  <c r="Z278" i="3"/>
  <c r="Z18" i="3"/>
  <c r="AE302" i="3"/>
  <c r="Z97" i="3"/>
  <c r="AN177" i="3"/>
  <c r="AN18" i="3"/>
  <c r="AN137" i="3"/>
  <c r="Q302" i="3"/>
  <c r="Q316" i="3" s="1"/>
  <c r="Z234" i="3"/>
  <c r="Z101" i="3"/>
  <c r="AN154" i="3"/>
  <c r="AN155" i="3" s="1"/>
  <c r="Z289" i="3"/>
  <c r="AN278" i="3"/>
  <c r="AB62" i="3"/>
  <c r="Z103" i="3"/>
  <c r="Z176" i="3"/>
  <c r="AN97" i="3"/>
  <c r="AD79" i="3"/>
  <c r="Z81" i="3"/>
  <c r="AN289" i="3"/>
  <c r="AN24" i="3"/>
  <c r="Z123" i="3"/>
  <c r="Z187" i="3"/>
  <c r="AN182" i="3"/>
  <c r="Z24" i="3"/>
  <c r="AN123" i="3"/>
  <c r="AN294" i="3"/>
  <c r="AN91" i="3"/>
  <c r="Z274" i="3"/>
  <c r="AN16" i="3"/>
  <c r="Z48" i="3"/>
  <c r="AN167" i="3"/>
  <c r="AN283" i="3"/>
  <c r="Z167" i="3"/>
  <c r="Z85" i="3"/>
  <c r="AN48" i="3"/>
  <c r="Z82" i="3"/>
  <c r="AN293" i="3"/>
  <c r="Z261" i="3"/>
  <c r="AN85" i="3"/>
  <c r="Z174" i="3"/>
  <c r="AN117" i="3"/>
  <c r="AN174" i="3"/>
  <c r="Z9" i="3"/>
  <c r="Z285" i="3"/>
  <c r="AN125" i="3"/>
  <c r="Z294" i="3"/>
  <c r="AH301" i="3"/>
  <c r="Z33" i="3"/>
  <c r="Z93" i="3"/>
  <c r="Z122" i="3"/>
  <c r="Z115" i="3"/>
  <c r="Z259" i="3"/>
  <c r="Z99" i="3"/>
  <c r="AN261" i="3"/>
  <c r="S302" i="3"/>
  <c r="Z182" i="3"/>
  <c r="AN130" i="3"/>
  <c r="AI12" i="3"/>
  <c r="AJ12" i="3" s="1"/>
  <c r="Z46" i="3"/>
  <c r="AN46" i="3"/>
  <c r="AN122" i="3"/>
  <c r="AF302" i="3"/>
  <c r="Z127" i="3"/>
  <c r="AN254" i="3"/>
  <c r="Z117" i="3"/>
  <c r="Z87" i="3"/>
  <c r="Y301" i="3"/>
  <c r="AI276" i="3"/>
  <c r="AJ276" i="3" s="1"/>
  <c r="AN276" i="3"/>
  <c r="AI179" i="3"/>
  <c r="AJ179" i="3" s="1"/>
  <c r="Z254" i="3"/>
  <c r="AN98" i="3"/>
  <c r="AB301" i="3"/>
  <c r="Y266" i="3"/>
  <c r="Z106" i="3"/>
  <c r="Z136" i="3"/>
  <c r="AN87" i="3"/>
  <c r="AN113" i="3"/>
  <c r="Z298" i="3"/>
  <c r="AB29" i="3"/>
  <c r="Z130" i="3"/>
  <c r="Z113" i="3"/>
  <c r="Z98" i="3"/>
  <c r="Z91" i="3"/>
  <c r="AN93" i="3"/>
  <c r="Z129" i="3"/>
  <c r="AN13" i="3"/>
  <c r="AN129" i="3"/>
  <c r="AN136" i="3"/>
  <c r="AN156" i="3"/>
  <c r="AN157" i="3" s="1"/>
  <c r="Z109" i="3"/>
  <c r="AN17" i="3"/>
  <c r="AN109" i="3"/>
  <c r="AN150" i="3"/>
  <c r="AN298" i="3"/>
  <c r="Z13" i="3"/>
  <c r="Z17" i="3"/>
  <c r="AN54" i="3"/>
  <c r="Z28" i="3"/>
  <c r="AN171" i="3"/>
  <c r="AN287" i="3"/>
  <c r="AH184" i="3"/>
  <c r="Z184" i="3"/>
  <c r="AN115" i="3"/>
  <c r="Z54" i="3"/>
  <c r="AN21" i="3"/>
  <c r="Z287" i="3"/>
  <c r="AI168" i="3"/>
  <c r="AJ168" i="3" s="1"/>
  <c r="AH165" i="3"/>
  <c r="Y185" i="3"/>
  <c r="AI268" i="3"/>
  <c r="AJ267" i="3"/>
  <c r="AJ268" i="3" s="1"/>
  <c r="AG78" i="3"/>
  <c r="AG302" i="3" s="1"/>
  <c r="AM63" i="3"/>
  <c r="AB190" i="3"/>
  <c r="AJ82" i="3"/>
  <c r="AN105" i="3"/>
  <c r="Z165" i="3"/>
  <c r="Z140" i="3"/>
  <c r="AN28" i="3"/>
  <c r="AB268" i="3"/>
  <c r="AN110" i="3"/>
  <c r="AB236" i="3"/>
  <c r="AN235" i="3"/>
  <c r="AN236" i="3" s="1"/>
  <c r="Z189" i="3"/>
  <c r="Z190" i="3" s="1"/>
  <c r="AJ269" i="3"/>
  <c r="Z132" i="3"/>
  <c r="AB185" i="3"/>
  <c r="Z262" i="3"/>
  <c r="AB266" i="3"/>
  <c r="AI94" i="3"/>
  <c r="AJ94" i="3" s="1"/>
  <c r="Z119" i="3"/>
  <c r="Z15" i="3"/>
  <c r="Z131" i="3"/>
  <c r="AN189" i="3"/>
  <c r="AB234" i="3"/>
  <c r="AN230" i="3"/>
  <c r="AI118" i="3"/>
  <c r="AJ118" i="3" s="1"/>
  <c r="AN30" i="3"/>
  <c r="AN33" i="3" s="1"/>
  <c r="AB33" i="3"/>
  <c r="Z50" i="3"/>
  <c r="AN106" i="3"/>
  <c r="AN140" i="3"/>
  <c r="AB153" i="3"/>
  <c r="Z95" i="3"/>
  <c r="AN132" i="3"/>
  <c r="AN262" i="3"/>
  <c r="AN291" i="3"/>
  <c r="Z107" i="3"/>
  <c r="AN119" i="3"/>
  <c r="Y62" i="3"/>
  <c r="AH34" i="3"/>
  <c r="Z34" i="3"/>
  <c r="AN15" i="3"/>
  <c r="AH83" i="3"/>
  <c r="Y133" i="3"/>
  <c r="AH20" i="3"/>
  <c r="Y29" i="3"/>
  <c r="Z20" i="3"/>
  <c r="AN131" i="3"/>
  <c r="AI251" i="3"/>
  <c r="AJ251" i="3" s="1"/>
  <c r="AB19" i="3"/>
  <c r="Y153" i="3"/>
  <c r="AH134" i="3"/>
  <c r="Z105" i="3"/>
  <c r="Z110" i="3"/>
  <c r="Z134" i="3"/>
  <c r="AN95" i="3"/>
  <c r="Z291" i="3"/>
  <c r="AN107" i="3"/>
  <c r="AN152" i="3"/>
  <c r="AN144" i="3"/>
  <c r="Z52" i="3"/>
  <c r="AB164" i="3"/>
  <c r="AN162" i="3"/>
  <c r="AN164" i="3" s="1"/>
  <c r="Z247" i="3"/>
  <c r="Z257" i="3"/>
  <c r="Z150" i="3"/>
  <c r="Y247" i="3"/>
  <c r="AH237" i="3"/>
  <c r="AH190" i="3"/>
  <c r="AI186" i="3"/>
  <c r="Y19" i="3"/>
  <c r="AH7" i="3"/>
  <c r="AI232" i="3"/>
  <c r="AH234" i="3"/>
  <c r="Z152" i="3"/>
  <c r="AN82" i="3"/>
  <c r="Z144" i="3"/>
  <c r="AN52" i="3"/>
  <c r="AB247" i="3"/>
  <c r="AN257" i="3"/>
  <c r="AN50" i="3"/>
  <c r="Y190" i="3"/>
  <c r="AB133" i="3"/>
  <c r="AJ248" i="3"/>
  <c r="AN9" i="3"/>
  <c r="Z266" i="3" l="1"/>
  <c r="Z301" i="3"/>
  <c r="Y302" i="3"/>
  <c r="Z185" i="3"/>
  <c r="AN79" i="3"/>
  <c r="AN81" i="3" s="1"/>
  <c r="AD81" i="3"/>
  <c r="AD302" i="3" s="1"/>
  <c r="Z133" i="3"/>
  <c r="AN251" i="3"/>
  <c r="AI266" i="3"/>
  <c r="Z29" i="3"/>
  <c r="AI301" i="3"/>
  <c r="AN12" i="3"/>
  <c r="AB302" i="3"/>
  <c r="AN168" i="3"/>
  <c r="AN179" i="3"/>
  <c r="AI184" i="3"/>
  <c r="AJ184" i="3" s="1"/>
  <c r="AN267" i="3"/>
  <c r="AN268" i="3" s="1"/>
  <c r="AI20" i="3"/>
  <c r="AH29" i="3"/>
  <c r="AI83" i="3"/>
  <c r="AH133" i="3"/>
  <c r="AH185" i="3"/>
  <c r="AI165" i="3"/>
  <c r="AJ232" i="3"/>
  <c r="AI234" i="3"/>
  <c r="Z153" i="3"/>
  <c r="AM78" i="3"/>
  <c r="AM302" i="3"/>
  <c r="Z19" i="3"/>
  <c r="AJ186" i="3"/>
  <c r="AJ190" i="3" s="1"/>
  <c r="AI190" i="3"/>
  <c r="Z62" i="3"/>
  <c r="AN118" i="3"/>
  <c r="AN94" i="3"/>
  <c r="AJ301" i="3"/>
  <c r="AN269" i="3"/>
  <c r="AN301" i="3" s="1"/>
  <c r="AN63" i="3"/>
  <c r="AN78" i="3" s="1"/>
  <c r="AJ266" i="3"/>
  <c r="AN248" i="3"/>
  <c r="AN266" i="3" s="1"/>
  <c r="AH19" i="3"/>
  <c r="AI7" i="3"/>
  <c r="AH62" i="3"/>
  <c r="AI34" i="3"/>
  <c r="AH247" i="3"/>
  <c r="AI237" i="3"/>
  <c r="AI134" i="3"/>
  <c r="AH153" i="3"/>
  <c r="Z302" i="3" l="1"/>
  <c r="AE308" i="3" s="1"/>
  <c r="AH302" i="3"/>
  <c r="AN184" i="3"/>
  <c r="AJ83" i="3"/>
  <c r="AJ133" i="3" s="1"/>
  <c r="AI133" i="3"/>
  <c r="AI62" i="3"/>
  <c r="AJ34" i="3"/>
  <c r="AI19" i="3"/>
  <c r="AI302" i="3" s="1"/>
  <c r="AJ7" i="3"/>
  <c r="AN7" i="3" s="1"/>
  <c r="AI153" i="3"/>
  <c r="AJ134" i="3"/>
  <c r="AJ20" i="3"/>
  <c r="AI29" i="3"/>
  <c r="AJ237" i="3"/>
  <c r="AJ247" i="3" s="1"/>
  <c r="AI247" i="3"/>
  <c r="AN237" i="3"/>
  <c r="AN247" i="3" s="1"/>
  <c r="AJ234" i="3"/>
  <c r="AN232" i="3"/>
  <c r="AN234" i="3" s="1"/>
  <c r="AI185" i="3"/>
  <c r="AJ165" i="3"/>
  <c r="AJ185" i="3" s="1"/>
  <c r="AN186" i="3"/>
  <c r="AN190" i="3" s="1"/>
  <c r="AN19" i="3" l="1"/>
  <c r="AN165" i="3"/>
  <c r="AN185" i="3" s="1"/>
  <c r="AJ62" i="3"/>
  <c r="AN34" i="3"/>
  <c r="AN62" i="3" s="1"/>
  <c r="AJ19" i="3"/>
  <c r="AJ153" i="3"/>
  <c r="AN134" i="3"/>
  <c r="AN153" i="3" s="1"/>
  <c r="AJ29" i="3"/>
  <c r="AN20" i="3"/>
  <c r="AN29" i="3" s="1"/>
  <c r="AN83" i="3"/>
  <c r="AN133" i="3" s="1"/>
  <c r="AJ302" i="3" l="1"/>
  <c r="AN302" i="3"/>
  <c r="AN304" i="3" s="1"/>
  <c r="O32" i="2" l="1"/>
  <c r="D45" i="2" l="1"/>
  <c r="P32" i="2"/>
  <c r="E45" i="2" s="1"/>
  <c r="F45" i="2" s="1"/>
  <c r="N34" i="2"/>
  <c r="M34" i="2"/>
  <c r="L34" i="2"/>
  <c r="K34" i="2"/>
  <c r="J34" i="2"/>
  <c r="I34" i="2"/>
  <c r="H34" i="2"/>
  <c r="G34" i="2"/>
  <c r="E34" i="2"/>
  <c r="D34" i="2"/>
  <c r="C34" i="2"/>
  <c r="P29" i="2"/>
  <c r="O29" i="2"/>
  <c r="S29" i="2" s="1"/>
  <c r="P28" i="2"/>
  <c r="O28" i="2"/>
  <c r="S28" i="2" s="1"/>
  <c r="P27" i="2"/>
  <c r="O27" i="2"/>
  <c r="S27" i="2" s="1"/>
  <c r="P26" i="2"/>
  <c r="O26" i="2"/>
  <c r="S26" i="2" s="1"/>
  <c r="P25" i="2"/>
  <c r="O25" i="2"/>
  <c r="S25" i="2" s="1"/>
  <c r="P24" i="2"/>
  <c r="O24" i="2"/>
  <c r="S24" i="2" s="1"/>
  <c r="P23" i="2"/>
  <c r="O23" i="2"/>
  <c r="S23" i="2" s="1"/>
  <c r="P22" i="2"/>
  <c r="O22" i="2"/>
  <c r="S22" i="2" s="1"/>
  <c r="P21" i="2"/>
  <c r="O21" i="2"/>
  <c r="P20" i="2"/>
  <c r="O20" i="2"/>
  <c r="S20" i="2" s="1"/>
  <c r="P19" i="2"/>
  <c r="O19" i="2"/>
  <c r="S19" i="2" s="1"/>
  <c r="P18" i="2"/>
  <c r="O18" i="2"/>
  <c r="S18" i="2" s="1"/>
  <c r="P17" i="2"/>
  <c r="O17" i="2"/>
  <c r="S17" i="2" s="1"/>
  <c r="P16" i="2"/>
  <c r="O16" i="2"/>
  <c r="S16" i="2" s="1"/>
  <c r="P15" i="2"/>
  <c r="O15" i="2"/>
  <c r="S15" i="2" s="1"/>
  <c r="P14" i="2"/>
  <c r="O14" i="2"/>
  <c r="P13" i="2"/>
  <c r="O13" i="2"/>
  <c r="S13" i="2" s="1"/>
  <c r="P12" i="2"/>
  <c r="O12" i="2"/>
  <c r="S12" i="2" s="1"/>
  <c r="P11" i="2"/>
  <c r="O11" i="2"/>
  <c r="S11" i="2" s="1"/>
  <c r="P10" i="2"/>
  <c r="O10" i="2"/>
  <c r="S10" i="2" s="1"/>
  <c r="P9" i="2"/>
  <c r="O9" i="2"/>
  <c r="S9" i="2" s="1"/>
  <c r="P8" i="2"/>
  <c r="O8" i="2"/>
  <c r="S8" i="2" s="1"/>
  <c r="P7" i="2"/>
  <c r="O7" i="2"/>
  <c r="S7" i="2" s="1"/>
  <c r="P6" i="2"/>
  <c r="O6" i="2"/>
  <c r="S6" i="2" s="1"/>
  <c r="P5" i="2"/>
  <c r="O5" i="2"/>
  <c r="S5" i="2" s="1"/>
  <c r="P42" i="1"/>
  <c r="P41" i="1"/>
  <c r="F42" i="1"/>
  <c r="E42" i="1"/>
  <c r="D42" i="1"/>
  <c r="O41" i="1"/>
  <c r="O42" i="1" s="1"/>
  <c r="N41" i="1"/>
  <c r="N42" i="1" s="1"/>
  <c r="M41" i="1"/>
  <c r="M42" i="1" s="1"/>
  <c r="L41" i="1"/>
  <c r="L42" i="1" s="1"/>
  <c r="K41" i="1"/>
  <c r="K42" i="1" s="1"/>
  <c r="J41" i="1"/>
  <c r="J42" i="1" s="1"/>
  <c r="I41" i="1"/>
  <c r="I42" i="1" s="1"/>
  <c r="H41" i="1"/>
  <c r="H42" i="1" s="1"/>
  <c r="G41" i="1"/>
  <c r="G42" i="1" s="1"/>
  <c r="F41" i="1"/>
  <c r="E41" i="1"/>
  <c r="D41" i="1"/>
  <c r="C42" i="1"/>
  <c r="C41" i="1"/>
  <c r="S14" i="2" l="1"/>
  <c r="O30" i="2"/>
  <c r="D44" i="2" s="1"/>
  <c r="F34" i="2"/>
  <c r="O34" i="2" s="1"/>
  <c r="P34" i="2" s="1"/>
  <c r="P30" i="2"/>
  <c r="P5" i="1"/>
  <c r="E44" i="2" l="1"/>
  <c r="D46" i="2"/>
  <c r="Q26" i="2"/>
  <c r="S30" i="2"/>
  <c r="Q13" i="2"/>
  <c r="Q8" i="2"/>
  <c r="Q19" i="2"/>
  <c r="Q20" i="2"/>
  <c r="Q22" i="2"/>
  <c r="Q21" i="2"/>
  <c r="Q10" i="2"/>
  <c r="Q25" i="2"/>
  <c r="Q6" i="2"/>
  <c r="Q15" i="2"/>
  <c r="Q5" i="2"/>
  <c r="Q29" i="2"/>
  <c r="Q18" i="2"/>
  <c r="Q28" i="2"/>
  <c r="Q7" i="2"/>
  <c r="Q14" i="2"/>
  <c r="Q11" i="2"/>
  <c r="Q27" i="2"/>
  <c r="Q17" i="2"/>
  <c r="Q23" i="2"/>
  <c r="Q24" i="2"/>
  <c r="Q9" i="2"/>
  <c r="O10" i="1"/>
  <c r="O11" i="1"/>
  <c r="J38" i="1"/>
  <c r="C38" i="1"/>
  <c r="D38" i="1"/>
  <c r="E38" i="1"/>
  <c r="H38" i="1"/>
  <c r="I38" i="1"/>
  <c r="K38" i="1"/>
  <c r="L38" i="1"/>
  <c r="M38" i="1"/>
  <c r="N38" i="1"/>
  <c r="F38" i="1"/>
  <c r="O18" i="1"/>
  <c r="P18" i="1"/>
  <c r="P9" i="1"/>
  <c r="O9" i="1"/>
  <c r="E46" i="2" l="1"/>
  <c r="F46" i="2" s="1"/>
  <c r="F44" i="2"/>
  <c r="Q30" i="2"/>
  <c r="G38" i="1"/>
  <c r="N30" i="1" l="1"/>
  <c r="M30" i="1"/>
  <c r="L30" i="1"/>
  <c r="K30" i="1"/>
  <c r="I30" i="1"/>
  <c r="H30" i="1"/>
  <c r="G30" i="1"/>
  <c r="F30" i="1"/>
  <c r="E30" i="1"/>
  <c r="D30" i="1"/>
  <c r="C30" i="1"/>
  <c r="U29" i="1"/>
  <c r="O29" i="1"/>
  <c r="U28" i="1"/>
  <c r="P28" i="1"/>
  <c r="U27" i="1"/>
  <c r="O27" i="1"/>
  <c r="U26" i="1"/>
  <c r="P26" i="1"/>
  <c r="U25" i="1"/>
  <c r="O25" i="1"/>
  <c r="U24" i="1"/>
  <c r="P24" i="1"/>
  <c r="U23" i="1"/>
  <c r="P23" i="1"/>
  <c r="U22" i="1"/>
  <c r="O22" i="1"/>
  <c r="U21" i="1"/>
  <c r="O21" i="1"/>
  <c r="U20" i="1"/>
  <c r="P20" i="1"/>
  <c r="U19" i="1"/>
  <c r="O19" i="1"/>
  <c r="U17" i="1"/>
  <c r="P17" i="1"/>
  <c r="U16" i="1"/>
  <c r="S16" i="1"/>
  <c r="S30" i="1" s="1"/>
  <c r="P16" i="1"/>
  <c r="U15" i="1"/>
  <c r="O15" i="1"/>
  <c r="U14" i="1"/>
  <c r="O14" i="1"/>
  <c r="U13" i="1"/>
  <c r="P13" i="1"/>
  <c r="U12" i="1"/>
  <c r="P12" i="1"/>
  <c r="U11" i="1"/>
  <c r="P11" i="1"/>
  <c r="U10" i="1"/>
  <c r="U8" i="1"/>
  <c r="P8" i="1"/>
  <c r="U7" i="1"/>
  <c r="O7" i="1"/>
  <c r="U6" i="1"/>
  <c r="P6" i="1"/>
  <c r="U5" i="1"/>
  <c r="O5" i="1"/>
  <c r="P21" i="1" l="1"/>
  <c r="P14" i="1"/>
  <c r="P27" i="1"/>
  <c r="P7" i="1"/>
  <c r="O16" i="1"/>
  <c r="O23" i="1"/>
  <c r="P10" i="1"/>
  <c r="O26" i="1"/>
  <c r="O6" i="1"/>
  <c r="O13" i="1"/>
  <c r="O20" i="1"/>
  <c r="O8" i="1"/>
  <c r="P15" i="1"/>
  <c r="P22" i="1"/>
  <c r="J30" i="1"/>
  <c r="O12" i="1"/>
  <c r="O17" i="1"/>
  <c r="P19" i="1"/>
  <c r="O24" i="1"/>
  <c r="P25" i="1"/>
  <c r="O28" i="1"/>
  <c r="P29" i="1"/>
  <c r="O30" i="1" l="1"/>
  <c r="O35" i="1" s="1"/>
  <c r="P30" i="1"/>
  <c r="P35" i="1" s="1"/>
  <c r="Q9" i="1" l="1"/>
  <c r="Q18" i="1"/>
  <c r="Q13" i="1"/>
  <c r="Q22" i="1"/>
  <c r="Q20" i="1"/>
  <c r="Q14" i="1"/>
  <c r="Q17" i="1"/>
  <c r="Q26" i="1"/>
  <c r="Q24" i="1"/>
  <c r="Q23" i="1"/>
  <c r="Q11" i="1"/>
  <c r="Q19" i="1"/>
  <c r="Q25" i="1"/>
  <c r="Q8" i="1"/>
  <c r="Q6" i="1"/>
  <c r="Q27" i="1"/>
  <c r="Q7" i="1"/>
  <c r="Q21" i="1"/>
  <c r="Q29" i="1"/>
  <c r="Q10" i="1"/>
  <c r="Q28" i="1"/>
  <c r="Q5" i="1"/>
  <c r="Q15" i="1"/>
  <c r="Q30" i="1" l="1"/>
</calcChain>
</file>

<file path=xl/sharedStrings.xml><?xml version="1.0" encoding="utf-8"?>
<sst xmlns="http://schemas.openxmlformats.org/spreadsheetml/2006/main" count="817" uniqueCount="391">
  <si>
    <t>INFORME DE FACTURACION NETA</t>
  </si>
  <si>
    <t>REGIMEN PRESUPUESTO</t>
  </si>
  <si>
    <t>REGIMENES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</si>
  <si>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</si>
  <si>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</si>
  <si>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</si>
  <si>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</si>
  <si>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</si>
  <si>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</si>
  <si>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</si>
  <si>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</si>
  <si>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</si>
  <si>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</si>
  <si>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</si>
  <si>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</si>
  <si>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</si>
  <si>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</si>
  <si>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PARTICIPACION</t>
  </si>
  <si>
    <t>ORD DE SERVICIO ACUM</t>
  </si>
  <si>
    <t>FFDS - Atención a Vinculados</t>
  </si>
  <si>
    <t>FFDS VINCULADOS</t>
  </si>
  <si>
    <t>FFDS PROYECTO DE GRATUIDAD</t>
  </si>
  <si>
    <t>FFDS POBLACION IRREGULAR</t>
  </si>
  <si>
    <t>FFDS - PIC</t>
  </si>
  <si>
    <t>FFDS PIC</t>
  </si>
  <si>
    <t>Régimen Contributivo</t>
  </si>
  <si>
    <t xml:space="preserve">EPS-CONTRIBUTIVO </t>
  </si>
  <si>
    <t>EPS-CONTRIBUTIVO CAPITAL SALUD</t>
  </si>
  <si>
    <t>EPS-CONTRIBUTIVO CAPITAL SALUD PYD</t>
  </si>
  <si>
    <t>Régimen Subsidiado - Capitado</t>
  </si>
  <si>
    <t>EPS-SUBSIDIADAS CAPITADO</t>
  </si>
  <si>
    <t>Régimen Subsidiado - No Capitado</t>
  </si>
  <si>
    <t>EPS-SUBSIDIADAS EVENTO</t>
  </si>
  <si>
    <t>EPS-SUBSIDIADAS EVENTO CAPITAL SALUD</t>
  </si>
  <si>
    <t>CAPITAL SALUD PYD EVENTO</t>
  </si>
  <si>
    <t>Régimen Subsidiado PGP</t>
  </si>
  <si>
    <t>Seguro Obligatorio Accidentes de Tránsito-SOAT</t>
  </si>
  <si>
    <t>ACCIDENTE TRANSITO SOAT</t>
  </si>
  <si>
    <t>FOSYGA</t>
  </si>
  <si>
    <t>ADRES (FOSYGA)</t>
  </si>
  <si>
    <t>Cuotas de Recuperación -FFDS</t>
  </si>
  <si>
    <t>CUOTAS DE RECUPERACION FFDS</t>
  </si>
  <si>
    <t>Cuotas de Recuperación y copagos - Otros Pagadores</t>
  </si>
  <si>
    <t>COPAGOS</t>
  </si>
  <si>
    <t>Otras IPS</t>
  </si>
  <si>
    <t>IPS PRIVADAS - PUBLICAS</t>
  </si>
  <si>
    <t>Particulares</t>
  </si>
  <si>
    <t>PARTICULARES</t>
  </si>
  <si>
    <t>Entes Territoriales</t>
  </si>
  <si>
    <t>ENTES TERRITORIALES</t>
  </si>
  <si>
    <t>Otros Pagadores por Venta de Servicios</t>
  </si>
  <si>
    <t>ARL</t>
  </si>
  <si>
    <t>ASEGURADORAS  DE VIDA</t>
  </si>
  <si>
    <t xml:space="preserve">REGIMEN ESPECIAL </t>
  </si>
  <si>
    <t>OTROS PAGADORES</t>
  </si>
  <si>
    <t>TOTAL FACTURACION NETA SIN CONVENIOS</t>
  </si>
  <si>
    <t>PROYECCION 2025</t>
  </si>
  <si>
    <t>Régimen CONTRIBUTIVO PGP</t>
  </si>
  <si>
    <t>FFDS PIC TERRITORIO</t>
  </si>
  <si>
    <t>CAPITAL SALUD PGP CONTRIBUTIVO</t>
  </si>
  <si>
    <t>CAPITAL SALUD PGP SUBSIDIADO</t>
  </si>
  <si>
    <t>evento</t>
  </si>
  <si>
    <t>Capitacion 5,2% incremento UPC, subsidiado evento el 6%, capital salud todas las modalidades el 5%</t>
  </si>
  <si>
    <t>AÑO 2024</t>
  </si>
  <si>
    <t>incremento $</t>
  </si>
  <si>
    <t>incremento %</t>
  </si>
  <si>
    <t>recaudo cxc</t>
  </si>
  <si>
    <t>CARTERA POR EDADES</t>
  </si>
  <si>
    <t>ÁREA DE CARTERA</t>
  </si>
  <si>
    <t>SUBRED INTEGRADA DE SERVICIOS DE SALUD</t>
  </si>
  <si>
    <t>NIT 900.958.564-9</t>
  </si>
  <si>
    <t>RECUPERACIÓN POR EDADES</t>
  </si>
  <si>
    <t>COMO SE VA A RECAUDAR</t>
  </si>
  <si>
    <t>Regimen</t>
  </si>
  <si>
    <t>Nit</t>
  </si>
  <si>
    <t>Nombre Tercero</t>
  </si>
  <si>
    <t>Cantidad</t>
  </si>
  <si>
    <t>Órdenes de Servicios</t>
  </si>
  <si>
    <t>Facturas Por Radicar</t>
  </si>
  <si>
    <t>Total Pendiente por Radicar</t>
  </si>
  <si>
    <t>Cartera 0 a 30 Dias</t>
  </si>
  <si>
    <t>Cartera 31 a 60 Dias</t>
  </si>
  <si>
    <t>Cartera 61 a 90 Dias</t>
  </si>
  <si>
    <t>Cartera 91 a 180 Dias</t>
  </si>
  <si>
    <t>Cartera 181 a 360 Dias</t>
  </si>
  <si>
    <t xml:space="preserve">Cartera Mayor 360 </t>
  </si>
  <si>
    <t>Giro directo</t>
  </si>
  <si>
    <t>Pagos sin soporte</t>
  </si>
  <si>
    <t>Total Cartera</t>
  </si>
  <si>
    <t>FEB</t>
  </si>
  <si>
    <t>MARZ</t>
  </si>
  <si>
    <t xml:space="preserve">AGOSTO </t>
  </si>
  <si>
    <t>SEPT</t>
  </si>
  <si>
    <t>OCT</t>
  </si>
  <si>
    <t>NOV</t>
  </si>
  <si>
    <t>DIC</t>
  </si>
  <si>
    <t>Accidente de Tránsito</t>
  </si>
  <si>
    <t xml:space="preserve">SEGUROS BOLIVAR SA   </t>
  </si>
  <si>
    <t xml:space="preserve">AXA COLPATRIA SEGUROS S A   </t>
  </si>
  <si>
    <t xml:space="preserve">LA PREVISORA S A COMPAÑIA DE SEGUROS   </t>
  </si>
  <si>
    <t xml:space="preserve">COMPANIA DE SEGUROS BOLIVAR S A   </t>
  </si>
  <si>
    <t xml:space="preserve">SEGUROS DEL ESTADO S.A.   </t>
  </si>
  <si>
    <t xml:space="preserve">LA EQUIDAD SEGUROS GENERALES ORGANISMO COOPERATIVO Y/O LA EQUIDAD SEGUROS GENERALES   </t>
  </si>
  <si>
    <t xml:space="preserve">COMPAÑÍA MUNDIAL DE SEGUROS S.A.   </t>
  </si>
  <si>
    <t xml:space="preserve">LIBERTY SEGUROS S.A.   </t>
  </si>
  <si>
    <t xml:space="preserve">ASEGURADORA SOLIDARIA DE COLOMBIA ENTIDAD COOPERATIVA   </t>
  </si>
  <si>
    <t xml:space="preserve">SEGUROS GENERALES SURAMERICANA S. A.   </t>
  </si>
  <si>
    <t xml:space="preserve">MAPFRE SEGUROS GENERALES DE COLOMBIA S.A.   </t>
  </si>
  <si>
    <t xml:space="preserve">ADMINISTRADORA DE RECURS DEL SGSSS-ADRES DE RECURS DEL SGSSS-ADRES </t>
  </si>
  <si>
    <t>Total Accidente de Tránsito</t>
  </si>
  <si>
    <t xml:space="preserve">COMPAÑIA DE SEGUROS DE VIDA COLMENA S.A.   </t>
  </si>
  <si>
    <t xml:space="preserve">LA EQUIDAD SEGUROS DE VIDA ORGANISMO COOPERATIVO Y/O LA EQUIDAD SEGUROS DE VIDA   </t>
  </si>
  <si>
    <t xml:space="preserve">AXA COLPATRIA SEGUROS DE VIDA S A   </t>
  </si>
  <si>
    <t xml:space="preserve">LIBERTY SEGUROS DE VIDA S.A.   </t>
  </si>
  <si>
    <t xml:space="preserve">SEGUROS DE VIDA DEL ESTADO S.A   </t>
  </si>
  <si>
    <t xml:space="preserve">POSITIVA COMPAÑIA DE SEGUROS S. A.   </t>
  </si>
  <si>
    <t xml:space="preserve">SEGUROS DE VIDA SURAMERICANA S.A.   </t>
  </si>
  <si>
    <t>Total ARL</t>
  </si>
  <si>
    <t>Capitación</t>
  </si>
  <si>
    <t xml:space="preserve">ENTIDAD PROMOTORA DE SALUD SANITAS SAS EN INTERVENCION BAJO LA MEDIDA DE TOMA DE POSESION   </t>
  </si>
  <si>
    <t xml:space="preserve">COOSALUD ENTIDAD PROMOTORA DE SALUD SA   </t>
  </si>
  <si>
    <t>GLADYS  ZAPATA SANCHEZ</t>
  </si>
  <si>
    <t>Total Capitación</t>
  </si>
  <si>
    <t>Contributivo</t>
  </si>
  <si>
    <t xml:space="preserve">EPS Y MEDICINA PREPAGADA SURAMERICANA S. A   </t>
  </si>
  <si>
    <t xml:space="preserve">FONDO DE PASIVO SOCIAL DE FERROCARRILES NACIONALES DE COLOMBIA   </t>
  </si>
  <si>
    <t xml:space="preserve">SALUD TOTAL ENTIDAD PROMOTORA DE SALUD DEL REGIMEN CONTRIBUTIVO S A   </t>
  </si>
  <si>
    <t xml:space="preserve">COOSALUD ESS ENTIDAD PROMOTORA DE SALUD DEL REGIMEN SUBSIDIADO EPSS   </t>
  </si>
  <si>
    <t xml:space="preserve">ENTIDAD PROMOTORA DE SALUD SERVICIO OCCIDENTAL DE SALUD S.A. S.O.S.   </t>
  </si>
  <si>
    <t xml:space="preserve">ASOCIACION MUTUAL SER EMPRESA SOLIDARIA DE SALUD EPS-S   </t>
  </si>
  <si>
    <t xml:space="preserve">PIJAOS SALUD EPSI   </t>
  </si>
  <si>
    <t xml:space="preserve">ASOCIACION MUTUAL LA ESPERANZA ASMET SALUD ESS EPS   </t>
  </si>
  <si>
    <t xml:space="preserve">ENTIDAD PROM. DE SALUD FAMISANAR SAS   </t>
  </si>
  <si>
    <t xml:space="preserve">COLOMBIANA DE SALUD S.A.   </t>
  </si>
  <si>
    <t xml:space="preserve">ALIANSALUD   </t>
  </si>
  <si>
    <t xml:space="preserve">ENTIDAD PROMOTORA DE SALUD MALLAMAS E P S INDIGENA   </t>
  </si>
  <si>
    <t xml:space="preserve">ANAS WAYUU E P S I   </t>
  </si>
  <si>
    <t xml:space="preserve">CAJA DE COMPENSACION FAMILIAR COMPENSAR   </t>
  </si>
  <si>
    <t xml:space="preserve">CAJA DE COMPENSACION FAMILIAR CAJACOPI ATLANTICO   </t>
  </si>
  <si>
    <t xml:space="preserve">CAJA DE COMPENSACION FAMILIAR DEL VALLE DEL CAUCA - COMFENALCO VALLE DELAGENTE   </t>
  </si>
  <si>
    <t xml:space="preserve">CAJA DE COMPENSACION FAMILIAR DEL CHOCO   </t>
  </si>
  <si>
    <t xml:space="preserve">CAPRESOCA EPS   </t>
  </si>
  <si>
    <t xml:space="preserve">NUEVA EMPRESA PROMOTORA DE SALUD S.A.   </t>
  </si>
  <si>
    <t xml:space="preserve">CAPITAL SALUD  ENTIDAD PROMOTORA DE SALUD </t>
  </si>
  <si>
    <t xml:space="preserve">ALIANZA MEDELLIN ANTIOQUIA EPS S. A. S.   </t>
  </si>
  <si>
    <t xml:space="preserve">ASMET SALUD EPS SAS   </t>
  </si>
  <si>
    <t xml:space="preserve">EMSSANAR E.P.S S.A.S.   </t>
  </si>
  <si>
    <t xml:space="preserve">CAJACOPI EPS S. A. S.   </t>
  </si>
  <si>
    <t xml:space="preserve">EPS FAMILIAR DE COLOMBIA S.A.S.   </t>
  </si>
  <si>
    <t>COL10839154951</t>
  </si>
  <si>
    <t>HIJA DE OMAIRA  BOCANEGRA TIQUE</t>
  </si>
  <si>
    <t>Total Contributivo</t>
  </si>
  <si>
    <t>Convenios Docentes Asistenciales</t>
  </si>
  <si>
    <t>MARIA DEL PILAR SANCHEZ MARSIGLIA</t>
  </si>
  <si>
    <t xml:space="preserve">INSTITUTO DE FORMACION E INVESTIGACION TECNICA S.A.S.   </t>
  </si>
  <si>
    <t>UNIVERSIDAD MILITAR NUEVA GRANADA</t>
  </si>
  <si>
    <t xml:space="preserve">ESCUELA DE CAPACITACION COLOMBIA FUNCA   </t>
  </si>
  <si>
    <t>ESCUELA DE SALUD SAN PEDRO CLAVER</t>
  </si>
  <si>
    <t xml:space="preserve">UNIVERSIDAD DE LOS ANDES   </t>
  </si>
  <si>
    <t>PONTIFICIA  UNIVERSIDAD JAVERIANA</t>
  </si>
  <si>
    <t>UNIVERSIDAD  ANTONIO NARINO</t>
  </si>
  <si>
    <t xml:space="preserve">UNIVERSIDAD  DE LA SABANA </t>
  </si>
  <si>
    <t xml:space="preserve">UNIVERSIDAD ECCI   </t>
  </si>
  <si>
    <t>FUNDACION UNIVERSITARIA DEL AREA ANDINA</t>
  </si>
  <si>
    <t>UNIVERSIDAD MANUELA BELTRAN UMB</t>
  </si>
  <si>
    <t xml:space="preserve">EL CENTRO EN SALUD UNISALUD LTDA.   </t>
  </si>
  <si>
    <t xml:space="preserve">UNIVERSIDAD DE CARTAGENA   </t>
  </si>
  <si>
    <t>CORPORACION UNIVERSIDAD DEL SINU ELIAS BECHARA ZAINUM</t>
  </si>
  <si>
    <t>Total Convenios Docentes Asistenciales</t>
  </si>
  <si>
    <t>Convenios Interadministrativos</t>
  </si>
  <si>
    <t>FONDO FINANCIERO DISTRITAL DE SALUD</t>
  </si>
  <si>
    <t xml:space="preserve">ALCALDIA MAYOR DE BOGOTA D.C.   </t>
  </si>
  <si>
    <t>Total Convenios Interadministrativos</t>
  </si>
  <si>
    <t>Entes Territoriales/Departamentales y Distritales</t>
  </si>
  <si>
    <t xml:space="preserve">DEPARTAMENTO DE SANTANDER   </t>
  </si>
  <si>
    <t xml:space="preserve">DEPARTAMENTO DEL CAQUETA   </t>
  </si>
  <si>
    <t xml:space="preserve">DEPARTAMENTO DEL VICHADA   </t>
  </si>
  <si>
    <t xml:space="preserve">DEPARTAMENTO DEL PUTUMAYO   </t>
  </si>
  <si>
    <t xml:space="preserve">SECRETARIA DE SALUD DE VALLEDUPAR   </t>
  </si>
  <si>
    <t xml:space="preserve">MUNICIPIO DE ARAUCA   </t>
  </si>
  <si>
    <t xml:space="preserve">DEPARTAMENTO DEL HUILA   </t>
  </si>
  <si>
    <t xml:space="preserve">GOBERNACION DEL MAGDALENA   </t>
  </si>
  <si>
    <t xml:space="preserve">DEPARTAMENTO DE NARIÑO   </t>
  </si>
  <si>
    <t xml:space="preserve">DEPARTAMENTO NORTE DE SANTANDER   </t>
  </si>
  <si>
    <t xml:space="preserve">DEPARTAMENTO DE CORDOBA   </t>
  </si>
  <si>
    <t xml:space="preserve">GOBIERNO DEPARTAMENTAL DEL TOLIMA   </t>
  </si>
  <si>
    <t xml:space="preserve">DIRECCION TERRITORIAL DE SALUD DE CALDAS   </t>
  </si>
  <si>
    <t xml:space="preserve">SECRETARIA DE SALUD DE BOYACA   </t>
  </si>
  <si>
    <t xml:space="preserve">SECRETARIA DE SALUD  DEL PUTUMAYO   </t>
  </si>
  <si>
    <t xml:space="preserve">DEPARTAMENTO ADMINISTRATIVO DE SALUD DEL DISTRITO TURISTICO CULTURAL E HISTORICO DE STA MTA   </t>
  </si>
  <si>
    <t xml:space="preserve">INSTITUTO DEPARTAMENTAL DE SALUD DEL CAQUETA -EN LIQUIDACIÓN   </t>
  </si>
  <si>
    <t xml:space="preserve">DEPARTAMENTO ADMINISTRATIVO DISTRITAL DE SALUD DISTRISALUD   </t>
  </si>
  <si>
    <t xml:space="preserve">DEPARTAMENTO ADMINISTRATIVO DE SALUD DE CORDO   </t>
  </si>
  <si>
    <t xml:space="preserve">EMPRESA SOCIAL DEL ESTADO HOSPITAL SAN JOSE DEL GUAVIARE   </t>
  </si>
  <si>
    <t xml:space="preserve">DEPARTAMENTO DEL QUINDIO   </t>
  </si>
  <si>
    <t xml:space="preserve">DEPARTAMENTO DEL ATLANTICO   </t>
  </si>
  <si>
    <t xml:space="preserve">DISTRITO ESPECIAL INDUSTRIAL Y PORTUARIO DE BARRANQUILLA   </t>
  </si>
  <si>
    <t xml:space="preserve">DEPARTAMENTO DEL VALLE DEL CAUCA   </t>
  </si>
  <si>
    <t xml:space="preserve">SECRETARIA DE SALUD DEPARTAMENTAL DE BOLIVAR   </t>
  </si>
  <si>
    <t xml:space="preserve">DISTRITO TURISTICO Y CULTURAL DE CARTAGENA DE INDIAS   </t>
  </si>
  <si>
    <t xml:space="preserve">INST DEPTAL DE SALUD DE NTE DE S/DER   </t>
  </si>
  <si>
    <t xml:space="preserve">SECRETARIA DE SALUD DEL TOLIMA   </t>
  </si>
  <si>
    <t xml:space="preserve">DEPARTAMENTO DE ANTIOQUIA   </t>
  </si>
  <si>
    <t xml:space="preserve">SECRETARIA DE SALUD DE CAUCASIA ANTIOQUIA   </t>
  </si>
  <si>
    <t xml:space="preserve">SECRETARIA DE SALUD DE CHIGORODO ANTIOQUIA   </t>
  </si>
  <si>
    <t xml:space="preserve">SECRETARIA DE SALUD AIPE HUILA   </t>
  </si>
  <si>
    <t xml:space="preserve">INSTITUTO DEPARTAMENTAL DE SALUD DE NARINO   </t>
  </si>
  <si>
    <t xml:space="preserve">DEPARTAMENTO DE RISARALDA   </t>
  </si>
  <si>
    <t xml:space="preserve">DEPARTAMENTO DEL CAUCA   </t>
  </si>
  <si>
    <t xml:space="preserve">DEPARTAMENTO ADMINISTRATIVO DE SALUD Y SEGURIDAD SOCIAL DEL CHOCO EN LIQUIDACION   </t>
  </si>
  <si>
    <t xml:space="preserve">DISTRITO TURISTICO CULTURAL E HISTORICO DE SANTA MARTA   </t>
  </si>
  <si>
    <t xml:space="preserve">DEPARTAMENTO DE BOYACA   </t>
  </si>
  <si>
    <t xml:space="preserve">FONDO DEPARTAMENTAL DE SALUD DE CASANARE   </t>
  </si>
  <si>
    <t xml:space="preserve">DEPARTAMENTO DEL META   </t>
  </si>
  <si>
    <t xml:space="preserve">SECRETARIA DEPARTAMENTAL DE SALUD DEL GUAVIARE   </t>
  </si>
  <si>
    <t xml:space="preserve">DEPARTAMENTO ADMINISTRATIVO DE SALUD DEL META   </t>
  </si>
  <si>
    <t xml:space="preserve">DEPARTAMENTO DEL CASANARE   </t>
  </si>
  <si>
    <t xml:space="preserve">SERVICIO SECCIONAL DE SALUD DE LA GUAJIRA   </t>
  </si>
  <si>
    <t xml:space="preserve">DEPARTAMENTO ADMINISTRATIVO DE SEGURIDAD SOCIAL EN SALUD DE SUCRE - DASSSALUD SUCRE   </t>
  </si>
  <si>
    <t xml:space="preserve">DEPARTAMENTO DE SUCRE   </t>
  </si>
  <si>
    <t xml:space="preserve">DEPARTAMENTO DEL CESAR   </t>
  </si>
  <si>
    <t xml:space="preserve">DEPARTAMENTO DE CUNDINAMARCA   </t>
  </si>
  <si>
    <t xml:space="preserve">GOBERNACION DEL AMAZONAS   </t>
  </si>
  <si>
    <t xml:space="preserve">UNIDAD ADMINISTRATIVA ESPECIAL DE SALUD DE ARAUCA   </t>
  </si>
  <si>
    <t>Total Entes Territoriales/Departamentales y Distritales</t>
  </si>
  <si>
    <t>Entes Territoriales/Municipal</t>
  </si>
  <si>
    <t xml:space="preserve">MUNICIPIO DE SAN FERNADO BOLIVAR   </t>
  </si>
  <si>
    <t xml:space="preserve">MUNIICIPIO LOS PATIOS NORTE DE SANTANDER   </t>
  </si>
  <si>
    <t xml:space="preserve">MUNICIPIO PUERTO GAITAN   </t>
  </si>
  <si>
    <t xml:space="preserve">MUNICIPIO MARIA LA BAJA   </t>
  </si>
  <si>
    <t xml:space="preserve">SECRETARIA DE SALUD DE GAMARRA - CESAR   </t>
  </si>
  <si>
    <t xml:space="preserve">MUNICIPIO PUERTO RICO META   </t>
  </si>
  <si>
    <t xml:space="preserve">MUNICIPIO DE CHAPARRAL   </t>
  </si>
  <si>
    <t xml:space="preserve">MUNICIPIO DE VILLAHERMOSA TOLIMA   </t>
  </si>
  <si>
    <t xml:space="preserve">MUNICIPIO DE URIBE META   </t>
  </si>
  <si>
    <t xml:space="preserve">MUNICIPIO DEL PEÑON BOLIVAR   </t>
  </si>
  <si>
    <t xml:space="preserve">ALCALDIA DE BARANOA   </t>
  </si>
  <si>
    <t xml:space="preserve">MUNICIPIO PUERTO WILCHES SANTANDER   </t>
  </si>
  <si>
    <t xml:space="preserve">MUNICIPIO DE BUENAVENTURA   </t>
  </si>
  <si>
    <t xml:space="preserve">MUNICIPIO DE MEDELLIN   </t>
  </si>
  <si>
    <t xml:space="preserve">MUNICIPIO DE MARINILLA   </t>
  </si>
  <si>
    <t xml:space="preserve">MUNICIPIO NECOCLÍ (ANTIOQUIA)   </t>
  </si>
  <si>
    <t xml:space="preserve">MUNICIPIO GÓMEZ PLATA (ANTIOQUIA)   </t>
  </si>
  <si>
    <t xml:space="preserve">MUNICIPIO DE NEIVA   </t>
  </si>
  <si>
    <t xml:space="preserve">MUNICIPIO DE PALERMO HUILA   </t>
  </si>
  <si>
    <t>Total Entes Territoriales/Municipal</t>
  </si>
  <si>
    <t>FFDS-DESPLAZADOS</t>
  </si>
  <si>
    <t>Total FFDS-DESPLAZADOS</t>
  </si>
  <si>
    <t>FFDS-ESCOLARIDAD</t>
  </si>
  <si>
    <t>Total FFDS-ESCOLARIDAD</t>
  </si>
  <si>
    <t>FFDS-EXTRANJEROS</t>
  </si>
  <si>
    <t>Total FFDS-EXTRANJEROS</t>
  </si>
  <si>
    <t>FFDS-GRATUIDAD</t>
  </si>
  <si>
    <t>Total FFDS-GRATUIDAD</t>
  </si>
  <si>
    <t>FFDS-VINCULADOS</t>
  </si>
  <si>
    <t>VEN18821750</t>
  </si>
  <si>
    <t>HUYNIN PAOLA CUENCA ABREU</t>
  </si>
  <si>
    <t>Total FFDS-VINCULADOS</t>
  </si>
  <si>
    <t>IPS Privadas</t>
  </si>
  <si>
    <t xml:space="preserve">FUNDACION COSME Y DAMIAN   </t>
  </si>
  <si>
    <t xml:space="preserve">CLINICA UNIVERSITARIA COLOMBIA / CLINICA COLSANITAS S A   </t>
  </si>
  <si>
    <t xml:space="preserve">MEDICINA INTEGRAL S.A.S.   </t>
  </si>
  <si>
    <t xml:space="preserve">SOCIEDAD CLINICA EMCOSALUD S.A.   </t>
  </si>
  <si>
    <t xml:space="preserve">ADMINISTRADORA COUNTRY S.A.   </t>
  </si>
  <si>
    <t xml:space="preserve">COLOMBIANA DE TRASPLANTES S.A.S   </t>
  </si>
  <si>
    <t xml:space="preserve">FUNDACION ABOOD SHAIO EN REESTRUCTURACION   </t>
  </si>
  <si>
    <t xml:space="preserve">FUNDACION CARDIO INFANTIL-INSTITUTO DE CARDIOLOGIA   </t>
  </si>
  <si>
    <t xml:space="preserve">FUNDACION SANTAFE DE BOGOTA   </t>
  </si>
  <si>
    <t xml:space="preserve">ORGANIZACION CLINICA GENERAL DEL NORTE S.A.   </t>
  </si>
  <si>
    <t xml:space="preserve">EMCOSALUD GRUPO EMPRESARIAL   </t>
  </si>
  <si>
    <t xml:space="preserve">SUMIMEDICAL SAS   </t>
  </si>
  <si>
    <t xml:space="preserve">UNION TEMPORAL DEL NORTE - BOGOTA   </t>
  </si>
  <si>
    <t xml:space="preserve">AVANZAR MEDICO   </t>
  </si>
  <si>
    <t xml:space="preserve">UNIÓN TEMPORAL SALUDSUR 2 – REGIÓN TRES   </t>
  </si>
  <si>
    <t xml:space="preserve">UNION TEMPORAL TOLIHUILA REGIONAL 1 TOLIMA   </t>
  </si>
  <si>
    <t xml:space="preserve">UNION TEMPORAL SERVISALUD SAN JOSE   </t>
  </si>
  <si>
    <t xml:space="preserve">UT - RED INTEGRADA FOSCAL – CUB   </t>
  </si>
  <si>
    <t xml:space="preserve">MEDISALUD UT LTDA   </t>
  </si>
  <si>
    <t>Total IPS Privadas</t>
  </si>
  <si>
    <t>IPS públicas</t>
  </si>
  <si>
    <t xml:space="preserve">HOSPITAL DE LA VICTORIA III NI   </t>
  </si>
  <si>
    <t xml:space="preserve">HOSPITAL SAN CRISTOBAL I NIVEL   </t>
  </si>
  <si>
    <t xml:space="preserve">HOSPITAL RAFAEL URIBE E.S.E.   </t>
  </si>
  <si>
    <t xml:space="preserve">INSTITUTO DISTRITAL DE CIENCIA,BIOTECNOLOGIA E INNOVACION EN SALUD   </t>
  </si>
  <si>
    <t>Total IPS públicas</t>
  </si>
  <si>
    <t>Liquidada/Capitación</t>
  </si>
  <si>
    <t xml:space="preserve">CAJA DE COMPENSACION FAMILIAR DE CUNDINAMARCA - COMFACUNDI   </t>
  </si>
  <si>
    <t>Liquidada/Contributivo</t>
  </si>
  <si>
    <t xml:space="preserve">CAFESALUD ENTIDAD PROMOTORA DE SALUD SA   </t>
  </si>
  <si>
    <t xml:space="preserve">SALUDCOOP ENTIDAD PROMOTORA DE SALUD ORGANISMO COOPERATIVO SALUDCOOP EN LIQUIDACION   </t>
  </si>
  <si>
    <t xml:space="preserve">COOPERATIVA DE SALUD COMUNITARIA EMPRESA PROMOTORA DE SALUD SUBSIDIADA COMPARTA EPS-S   </t>
  </si>
  <si>
    <t xml:space="preserve">COOMEVA ENTIDAD PROMOTORA DE SALUD S.A.   </t>
  </si>
  <si>
    <t xml:space="preserve">EMPRESA MUTUAL PARA EL DESARROLLO INTEGRAL DE LA SALUD E.S.S.   </t>
  </si>
  <si>
    <t xml:space="preserve">ASOCIACION BARRIOS UNIDOS DE QUIBDO EPS-S AMBUQ ESS   </t>
  </si>
  <si>
    <t xml:space="preserve">CRUZ BLANCA ENTIDAD PROMOTORA DE SALUD S.A.   </t>
  </si>
  <si>
    <t xml:space="preserve">SALUDVIDA S.A. EMPRESA PROMOTORA DE SALUD EPS   </t>
  </si>
  <si>
    <t xml:space="preserve">ENTIDAD COOPERATIVA SOLIDARIA DE SALUD ECOOPSOS ESS EPS SS   </t>
  </si>
  <si>
    <t xml:space="preserve">CAJA DE COMPENSACION FAMILIAR DEL HUILA   </t>
  </si>
  <si>
    <t xml:space="preserve">CAJA DE COMPENSACION FAMILIAR DE NARIÑO   </t>
  </si>
  <si>
    <t xml:space="preserve">CAJA DE PREVISION SOCIAL DE COMUNICACIONES  - CAPRECOM - LIQUIDADA   </t>
  </si>
  <si>
    <t xml:space="preserve">ENTIDAD PROMOTORA DE SALUD DEL REGIMEN SUBSIDIADO EPSS CONVIDA   </t>
  </si>
  <si>
    <t xml:space="preserve">EMPRESA PROMOTORA DE SALUD ECOOPSOS EPS S.A.S.   </t>
  </si>
  <si>
    <t xml:space="preserve">MEDIMAS EPS S.A.S   </t>
  </si>
  <si>
    <t>Liquidada/IPS Privada</t>
  </si>
  <si>
    <t xml:space="preserve">PREVIMEDICS S.A.   </t>
  </si>
  <si>
    <t>Liquidada/Subsidiado</t>
  </si>
  <si>
    <t xml:space="preserve">CAJA DE COMPENSACION FAMILIAR DE CARTAGENA   </t>
  </si>
  <si>
    <t xml:space="preserve">CAJA DE COMPENSACION FAMILIAR DE ANTIOQUIA COMFAMA   </t>
  </si>
  <si>
    <t xml:space="preserve">CAJA DE COMPENSACION FAMILIAR DE LA GUAJIRA   </t>
  </si>
  <si>
    <t xml:space="preserve">CAJA DE COMPENSACION FAMILIAR DE SUCRE   </t>
  </si>
  <si>
    <t xml:space="preserve">COMFASUCRE EPS S   </t>
  </si>
  <si>
    <t>Total Liquidadas</t>
  </si>
  <si>
    <t>Otros</t>
  </si>
  <si>
    <t xml:space="preserve">ORGANIZACION INTERNACIONAL PARA LAS MIGRACIONES O I M   </t>
  </si>
  <si>
    <t xml:space="preserve">EMPRESA DE TRANSPORTE DEL TERCER MILENIO TRANSMILENIO S.A.   </t>
  </si>
  <si>
    <t xml:space="preserve">FONDO NACIONAL DE GESTION  DEL RIESGO DE DESASTRES </t>
  </si>
  <si>
    <t xml:space="preserve">AMERICARES FOUNDATION INC   </t>
  </si>
  <si>
    <t>Total Otros</t>
  </si>
  <si>
    <t>Pagarés y Letras</t>
  </si>
  <si>
    <t>Total Pagarés y Letras</t>
  </si>
  <si>
    <t>Polizas</t>
  </si>
  <si>
    <t xml:space="preserve">ALLIANZ SEGUROS S.A   </t>
  </si>
  <si>
    <t>Total Polizas</t>
  </si>
  <si>
    <t>Regimen Especial</t>
  </si>
  <si>
    <t xml:space="preserve">POLICÍA NACIONAL DIRECCIÓN DE SANIDAD. ÁREA DE SANIDAD CHOCO   </t>
  </si>
  <si>
    <t xml:space="preserve">INSTITUTO NACIONAL PENITENCIARIO Y CARCELARIO-INPEC   </t>
  </si>
  <si>
    <t xml:space="preserve">COMPLEJO CARCELARIO Y PENITENCIARIO METROPOLITANO DE BOGOTA   </t>
  </si>
  <si>
    <t xml:space="preserve">FIDEICOMISOS PATRIMONIOS AUTONOMOS FIDUCIARIA LA PREVISORA S.A   </t>
  </si>
  <si>
    <t xml:space="preserve">UNIVERSIDAD NACIONAL DE COLOMBIA   </t>
  </si>
  <si>
    <t xml:space="preserve">ECOPETROL S.A.   </t>
  </si>
  <si>
    <t xml:space="preserve">REGIONAL DE ASEGURAMIENTO EN SALUD N° 1   </t>
  </si>
  <si>
    <t xml:space="preserve">POLICIA METROPOLITANA DE IBAGUE   </t>
  </si>
  <si>
    <t xml:space="preserve">JEFATURA DE SALUD FUERZA AEREA   </t>
  </si>
  <si>
    <t xml:space="preserve">FIDEICOMISO FONDO NACIONAL DE SALUD   </t>
  </si>
  <si>
    <t xml:space="preserve">DISPENSARIO MEDICO NIVEL II BARRANQUILLA   </t>
  </si>
  <si>
    <t xml:space="preserve">DISPENSARIO MEDICO SUROCCIDENTE   </t>
  </si>
  <si>
    <t xml:space="preserve">HOSPITAL NAVAL NIVEL III DE CARTAGENA   </t>
  </si>
  <si>
    <t xml:space="preserve">DISPENSARIO MEDICO NIVEL II BOGOTA   </t>
  </si>
  <si>
    <t xml:space="preserve">UNION TEMPORAL UT SALUD USPEC 2   </t>
  </si>
  <si>
    <t xml:space="preserve">UNIDAD PRESTADORA DE SALUD BOGOTA   </t>
  </si>
  <si>
    <t>Total Regimen Especial</t>
  </si>
  <si>
    <t>Salud Pública</t>
  </si>
  <si>
    <t>Total Salud Pública</t>
  </si>
  <si>
    <t>Subsidiado</t>
  </si>
  <si>
    <t xml:space="preserve">ASOCIACION MUTUAL EMPRESA SOLIDARIA DE SALUD EMSSANAR ESS   </t>
  </si>
  <si>
    <t xml:space="preserve">ASOCIACION INDIGENA DEL CAUCA AIC EPS-INDIGENA   </t>
  </si>
  <si>
    <t xml:space="preserve">ASOCIACION DE CABILDOS INDIGENAS DEL CESAR DUSAKAWI EPSI   </t>
  </si>
  <si>
    <t xml:space="preserve">CAJA DE COMPENSACION FAMILIAR DEL ORIENTE COLOMBIANO COMFAORIENTE   </t>
  </si>
  <si>
    <t xml:space="preserve">FUNDACION SALUD MIA E. P. S.   </t>
  </si>
  <si>
    <t>EYVER MATIAS MOSQUERA CORREA</t>
  </si>
  <si>
    <t>LIA A LA LA ALVIAREZ LARA</t>
  </si>
  <si>
    <t>Total Subsidiado</t>
  </si>
  <si>
    <t>Total general</t>
  </si>
  <si>
    <t> OTROS DEUDORES POR CONCEPTOS DIFERENTES A VENTA DE SERVICIOS DE SALUD</t>
  </si>
  <si>
    <t>VIGENCIA</t>
  </si>
  <si>
    <t xml:space="preserve">CON METODOLOGIA </t>
  </si>
  <si>
    <t>Concepto</t>
  </si>
  <si>
    <t>RECUPERACIÓN HISTORICA</t>
  </si>
  <si>
    <t>...132495 Convenios</t>
  </si>
  <si>
    <t>...138432 Responsabilidades fiscales</t>
  </si>
  <si>
    <t xml:space="preserve">Giro Capital Salud evento </t>
  </si>
  <si>
    <t>...138435 Intereses de mora</t>
  </si>
  <si>
    <t>Giro de valores libres para pago intervenidas Ejemplo Nueva EPS</t>
  </si>
  <si>
    <t>...138490 Otras cuentas por cobrar</t>
  </si>
  <si>
    <t>...138590 Otras cuentas por cobrar dificil recaudo</t>
  </si>
  <si>
    <t>Total otros deudores por conceptos diferentes a venta servicios de salud</t>
  </si>
  <si>
    <t>TOTAL GENERAL</t>
  </si>
  <si>
    <t>MARCELA VIZCAINO BEJARANO</t>
  </si>
  <si>
    <t>Lider Cartera y Glosas</t>
  </si>
  <si>
    <t>Subred Integrada de Servicios de Salud Sur E.S.E</t>
  </si>
  <si>
    <t>Elaboró:Nidia Zamara Gil Velásquez</t>
  </si>
  <si>
    <t>Profesional Administrativo Cartera y Glosas</t>
  </si>
  <si>
    <t>recaudo total</t>
  </si>
  <si>
    <t>% recaudo de vigencia</t>
  </si>
  <si>
    <t>reserva 12% radicación 25 de cada mes</t>
  </si>
  <si>
    <t>5% descuento por indicadores se proyecta</t>
  </si>
  <si>
    <t>atraso de recurso  pro auditoria supesto 80% de giro en la radicación</t>
  </si>
  <si>
    <t>PLAN DE SANEAMIENTO FISCAL</t>
  </si>
  <si>
    <t>CXC</t>
  </si>
  <si>
    <t>VALIDACION</t>
  </si>
  <si>
    <t>PROYECCION</t>
  </si>
  <si>
    <t>DIFERENCIA $</t>
  </si>
  <si>
    <t>DIFERENCIA %</t>
  </si>
  <si>
    <t>plan de saneamiento</t>
  </si>
  <si>
    <t>RECAUDO POR FUENTE</t>
  </si>
  <si>
    <t>FONDO COMUN</t>
  </si>
  <si>
    <t>PIC</t>
  </si>
  <si>
    <t xml:space="preserve">OTROS </t>
  </si>
  <si>
    <t xml:space="preserve">TOTAL </t>
  </si>
  <si>
    <t>APH</t>
  </si>
  <si>
    <t>NO PROYECTADO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</si>
</sst>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0\ _$_-;\-* #,##0.00\ _$_-;_-* &quot;-&quot;??\ _$_-;_-@_-"/>
    <numFmt numFmtId="166" formatCode="#,##0,,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3"/>
      <name val="Calibri"/>
      <family val="2"/>
      <scheme val="minor"/>
    </font>
    <font>
      <sz val="10"/>
      <color indexed="8"/>
      <name val="MS Sans Serif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</cellStyleXfs>
  <cellXfs count="139">
    <xf numFmtId="0" fontId="0" fillId="0" borderId="0" xfId="0"/>
    <xf numFmtId="0" fontId="0" fillId="2" borderId="0" xfId="0" applyFill="1"/>
    <xf numFmtId="43" fontId="0" fillId="2" borderId="0" xfId="1" applyFont="1" applyFill="1"/>
    <xf numFmtId="41" fontId="0" fillId="2" borderId="0" xfId="2" applyFont="1" applyFill="1"/>
    <xf numFmtId="0" fontId="3" fillId="3" borderId="1" xfId="0" applyFont="1" applyFill="1" applyBorder="1" applyAlignment="1">
      <alignment horizontal="center" vertical="center"/>
    </xf>
    <xf numFmtId="41" fontId="3" fillId="3" borderId="1" xfId="2" applyFont="1" applyFill="1" applyBorder="1" applyAlignment="1">
      <alignment horizontal="center" vertical="center"/>
    </xf>
    <xf numFmtId="41" fontId="3" fillId="3" borderId="2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2" borderId="1" xfId="0" applyFont="1" applyFill="1" applyBorder="1"/>
    <xf numFmtId="41" fontId="7" fillId="2" borderId="1" xfId="2" applyFont="1" applyFill="1" applyBorder="1"/>
    <xf numFmtId="41" fontId="3" fillId="2" borderId="1" xfId="2" applyFont="1" applyFill="1" applyBorder="1"/>
    <xf numFmtId="10" fontId="3" fillId="2" borderId="1" xfId="3" applyNumberFormat="1" applyFont="1" applyFill="1" applyBorder="1"/>
    <xf numFmtId="41" fontId="0" fillId="2" borderId="0" xfId="0" applyNumberFormat="1" applyFill="1"/>
    <xf numFmtId="41" fontId="0" fillId="2" borderId="1" xfId="2" applyFont="1" applyFill="1" applyBorder="1"/>
    <xf numFmtId="9" fontId="0" fillId="2" borderId="0" xfId="3" applyFont="1" applyFill="1"/>
    <xf numFmtId="0" fontId="4" fillId="2" borderId="1" xfId="4" applyFont="1" applyFill="1" applyBorder="1"/>
    <xf numFmtId="0" fontId="3" fillId="4" borderId="1" xfId="0" applyFont="1" applyFill="1" applyBorder="1"/>
    <xf numFmtId="0" fontId="3" fillId="3" borderId="1" xfId="0" applyFont="1" applyFill="1" applyBorder="1"/>
    <xf numFmtId="41" fontId="3" fillId="3" borderId="1" xfId="2" applyFont="1" applyFill="1" applyBorder="1"/>
    <xf numFmtId="9" fontId="3" fillId="3" borderId="1" xfId="3" applyFont="1" applyFill="1" applyBorder="1"/>
    <xf numFmtId="0" fontId="4" fillId="2" borderId="1" xfId="0" applyFont="1" applyFill="1" applyBorder="1"/>
    <xf numFmtId="41" fontId="4" fillId="2" borderId="1" xfId="2" applyFont="1" applyFill="1" applyBorder="1"/>
    <xf numFmtId="41" fontId="0" fillId="0" borderId="0" xfId="2" applyFont="1"/>
    <xf numFmtId="164" fontId="0" fillId="2" borderId="0" xfId="1" applyNumberFormat="1" applyFont="1" applyFill="1"/>
    <xf numFmtId="9" fontId="1" fillId="2" borderId="0" xfId="3" applyFont="1" applyFill="1"/>
    <xf numFmtId="41" fontId="1" fillId="2" borderId="1" xfId="2" applyFont="1" applyFill="1" applyBorder="1"/>
    <xf numFmtId="43" fontId="1" fillId="2" borderId="0" xfId="1" applyFont="1" applyFill="1"/>
    <xf numFmtId="10" fontId="0" fillId="2" borderId="0" xfId="2" applyNumberFormat="1" applyFont="1" applyFill="1"/>
    <xf numFmtId="10" fontId="7" fillId="2" borderId="1" xfId="3" applyNumberFormat="1" applyFont="1" applyFill="1" applyBorder="1"/>
    <xf numFmtId="41" fontId="7" fillId="2" borderId="0" xfId="2" applyFont="1" applyFill="1"/>
    <xf numFmtId="0" fontId="10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1" fontId="3" fillId="3" borderId="1" xfId="2" applyFont="1" applyFill="1" applyBorder="1" applyAlignment="1">
      <alignment vertical="center"/>
    </xf>
    <xf numFmtId="0" fontId="0" fillId="2" borderId="0" xfId="0" applyFill="1" applyAlignment="1">
      <alignment vertical="center"/>
    </xf>
    <xf numFmtId="43" fontId="0" fillId="2" borderId="0" xfId="1" applyFont="1" applyFill="1" applyAlignment="1">
      <alignment vertical="center"/>
    </xf>
    <xf numFmtId="41" fontId="9" fillId="2" borderId="0" xfId="2" applyFont="1" applyFill="1"/>
    <xf numFmtId="41" fontId="4" fillId="0" borderId="1" xfId="2" applyFont="1" applyFill="1" applyBorder="1"/>
    <xf numFmtId="41" fontId="7" fillId="0" borderId="1" xfId="2" applyFont="1" applyFill="1" applyBorder="1"/>
    <xf numFmtId="41" fontId="8" fillId="0" borderId="1" xfId="2" applyFont="1" applyFill="1" applyBorder="1"/>
    <xf numFmtId="41" fontId="3" fillId="0" borderId="1" xfId="2" applyFont="1" applyFill="1" applyBorder="1"/>
    <xf numFmtId="10" fontId="0" fillId="2" borderId="0" xfId="3" applyNumberFormat="1" applyFont="1" applyFill="1"/>
    <xf numFmtId="0" fontId="11" fillId="0" borderId="0" xfId="0" applyFont="1" applyAlignment="1">
      <alignment horizontal="centerContinuous" vertical="center"/>
    </xf>
    <xf numFmtId="1" fontId="12" fillId="0" borderId="0" xfId="0" applyNumberFormat="1" applyFont="1" applyAlignment="1">
      <alignment horizontal="centerContinuous" vertical="center" wrapText="1"/>
    </xf>
    <xf numFmtId="0" fontId="11" fillId="0" borderId="0" xfId="0" applyFont="1" applyAlignment="1">
      <alignment horizontal="centerContinuous" vertical="center" wrapText="1"/>
    </xf>
    <xf numFmtId="164" fontId="11" fillId="0" borderId="0" xfId="1" applyNumberFormat="1" applyFont="1" applyFill="1" applyBorder="1" applyAlignment="1">
      <alignment horizontal="centerContinuous" vertical="center" wrapText="1"/>
    </xf>
    <xf numFmtId="164" fontId="11" fillId="0" borderId="0" xfId="1" applyNumberFormat="1" applyFont="1" applyFill="1" applyAlignment="1">
      <alignment horizontal="centerContinuous" vertical="center" wrapText="1"/>
    </xf>
    <xf numFmtId="0" fontId="11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164" fontId="12" fillId="0" borderId="4" xfId="5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13" fillId="5" borderId="7" xfId="1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1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164" fontId="11" fillId="0" borderId="9" xfId="1" applyNumberFormat="1" applyFont="1" applyFill="1" applyBorder="1" applyAlignment="1">
      <alignment vertical="center"/>
    </xf>
    <xf numFmtId="164" fontId="11" fillId="0" borderId="10" xfId="1" applyNumberFormat="1" applyFont="1" applyFill="1" applyBorder="1" applyAlignment="1">
      <alignment vertical="center"/>
    </xf>
    <xf numFmtId="164" fontId="11" fillId="0" borderId="11" xfId="1" applyNumberFormat="1" applyFont="1" applyFill="1" applyBorder="1" applyAlignment="1">
      <alignment vertical="center"/>
    </xf>
    <xf numFmtId="164" fontId="11" fillId="0" borderId="0" xfId="0" applyNumberFormat="1" applyFont="1" applyAlignment="1">
      <alignment vertical="center"/>
    </xf>
    <xf numFmtId="0" fontId="11" fillId="0" borderId="12" xfId="0" applyFont="1" applyBorder="1" applyAlignment="1">
      <alignment vertical="center"/>
    </xf>
    <xf numFmtId="1" fontId="11" fillId="0" borderId="13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164" fontId="11" fillId="0" borderId="13" xfId="1" applyNumberFormat="1" applyFont="1" applyFill="1" applyBorder="1" applyAlignment="1">
      <alignment vertical="center"/>
    </xf>
    <xf numFmtId="164" fontId="11" fillId="0" borderId="14" xfId="1" applyNumberFormat="1" applyFont="1" applyFill="1" applyBorder="1" applyAlignment="1">
      <alignment vertical="center"/>
    </xf>
    <xf numFmtId="164" fontId="11" fillId="0" borderId="15" xfId="1" applyNumberFormat="1" applyFont="1" applyFill="1" applyBorder="1" applyAlignment="1">
      <alignment vertical="center"/>
    </xf>
    <xf numFmtId="0" fontId="11" fillId="0" borderId="16" xfId="0" applyFont="1" applyBorder="1" applyAlignment="1">
      <alignment vertical="center"/>
    </xf>
    <xf numFmtId="1" fontId="11" fillId="0" borderId="17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164" fontId="11" fillId="0" borderId="17" xfId="1" applyNumberFormat="1" applyFont="1" applyFill="1" applyBorder="1" applyAlignment="1">
      <alignment vertical="center"/>
    </xf>
    <xf numFmtId="164" fontId="11" fillId="0" borderId="18" xfId="1" applyNumberFormat="1" applyFont="1" applyFill="1" applyBorder="1" applyAlignment="1">
      <alignment vertical="center"/>
    </xf>
    <xf numFmtId="164" fontId="11" fillId="0" borderId="19" xfId="1" applyNumberFormat="1" applyFont="1" applyFill="1" applyBorder="1" applyAlignment="1">
      <alignment vertical="center"/>
    </xf>
    <xf numFmtId="0" fontId="12" fillId="0" borderId="20" xfId="0" applyFont="1" applyBorder="1" applyAlignment="1">
      <alignment horizontal="centerContinuous" vertical="center"/>
    </xf>
    <xf numFmtId="0" fontId="12" fillId="0" borderId="21" xfId="0" applyFont="1" applyBorder="1" applyAlignment="1">
      <alignment horizontal="centerContinuous" vertical="center"/>
    </xf>
    <xf numFmtId="164" fontId="12" fillId="0" borderId="21" xfId="1" applyNumberFormat="1" applyFont="1" applyFill="1" applyBorder="1" applyAlignment="1">
      <alignment vertical="center"/>
    </xf>
    <xf numFmtId="164" fontId="12" fillId="0" borderId="22" xfId="1" applyNumberFormat="1" applyFont="1" applyFill="1" applyBorder="1" applyAlignment="1">
      <alignment vertical="center"/>
    </xf>
    <xf numFmtId="164" fontId="12" fillId="0" borderId="3" xfId="1" applyNumberFormat="1" applyFont="1" applyFill="1" applyBorder="1" applyAlignment="1">
      <alignment vertical="center"/>
    </xf>
    <xf numFmtId="0" fontId="11" fillId="0" borderId="23" xfId="0" applyFont="1" applyBorder="1" applyAlignment="1">
      <alignment vertical="center"/>
    </xf>
    <xf numFmtId="1" fontId="11" fillId="0" borderId="2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164" fontId="11" fillId="0" borderId="24" xfId="1" applyNumberFormat="1" applyFont="1" applyFill="1" applyBorder="1" applyAlignment="1">
      <alignment vertical="center"/>
    </xf>
    <xf numFmtId="164" fontId="11" fillId="0" borderId="25" xfId="1" applyNumberFormat="1" applyFont="1" applyFill="1" applyBorder="1" applyAlignment="1">
      <alignment vertical="center"/>
    </xf>
    <xf numFmtId="164" fontId="11" fillId="0" borderId="26" xfId="1" applyNumberFormat="1" applyFont="1" applyFill="1" applyBorder="1" applyAlignment="1">
      <alignment vertical="center"/>
    </xf>
    <xf numFmtId="164" fontId="12" fillId="0" borderId="13" xfId="1" applyNumberFormat="1" applyFont="1" applyFill="1" applyBorder="1" applyAlignment="1">
      <alignment vertical="center"/>
    </xf>
    <xf numFmtId="164" fontId="14" fillId="0" borderId="15" xfId="1" applyNumberFormat="1" applyFont="1" applyFill="1" applyBorder="1" applyAlignment="1">
      <alignment vertical="center"/>
    </xf>
    <xf numFmtId="164" fontId="11" fillId="6" borderId="15" xfId="1" applyNumberFormat="1" applyFont="1" applyFill="1" applyBorder="1" applyAlignment="1">
      <alignment vertical="center"/>
    </xf>
    <xf numFmtId="164" fontId="11" fillId="6" borderId="14" xfId="1" applyNumberFormat="1" applyFont="1" applyFill="1" applyBorder="1" applyAlignment="1">
      <alignment vertical="center"/>
    </xf>
    <xf numFmtId="164" fontId="12" fillId="0" borderId="20" xfId="1" applyNumberFormat="1" applyFont="1" applyFill="1" applyBorder="1" applyAlignment="1">
      <alignment vertical="center"/>
    </xf>
    <xf numFmtId="1" fontId="12" fillId="0" borderId="0" xfId="0" applyNumberFormat="1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164" fontId="12" fillId="0" borderId="0" xfId="1" applyNumberFormat="1" applyFont="1" applyFill="1" applyBorder="1" applyAlignment="1">
      <alignment vertical="center"/>
    </xf>
    <xf numFmtId="164" fontId="11" fillId="0" borderId="0" xfId="1" applyNumberFormat="1" applyFont="1" applyFill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Continuous" vertical="center" wrapText="1"/>
    </xf>
    <xf numFmtId="1" fontId="12" fillId="0" borderId="4" xfId="0" applyNumberFormat="1" applyFont="1" applyBorder="1" applyAlignment="1">
      <alignment horizontal="centerContinuous" vertical="center" wrapText="1"/>
    </xf>
    <xf numFmtId="164" fontId="12" fillId="0" borderId="4" xfId="5" applyNumberFormat="1" applyFont="1" applyFill="1" applyBorder="1" applyAlignment="1">
      <alignment horizontal="centerContinuous" vertical="center" wrapText="1"/>
    </xf>
    <xf numFmtId="0" fontId="11" fillId="0" borderId="1" xfId="0" applyFont="1" applyBorder="1" applyAlignment="1">
      <alignment vertical="center"/>
    </xf>
    <xf numFmtId="166" fontId="11" fillId="0" borderId="1" xfId="0" applyNumberFormat="1" applyFont="1" applyBorder="1" applyAlignment="1">
      <alignment vertical="center"/>
    </xf>
    <xf numFmtId="164" fontId="11" fillId="0" borderId="27" xfId="1" applyNumberFormat="1" applyFont="1" applyFill="1" applyBorder="1" applyAlignment="1">
      <alignment vertical="center"/>
    </xf>
    <xf numFmtId="1" fontId="11" fillId="0" borderId="28" xfId="1" applyNumberFormat="1" applyFont="1" applyFill="1" applyBorder="1" applyAlignment="1">
      <alignment vertical="center"/>
    </xf>
    <xf numFmtId="164" fontId="11" fillId="0" borderId="29" xfId="1" applyNumberFormat="1" applyFont="1" applyFill="1" applyBorder="1" applyAlignment="1">
      <alignment vertical="center"/>
    </xf>
    <xf numFmtId="164" fontId="11" fillId="0" borderId="30" xfId="1" applyNumberFormat="1" applyFont="1" applyFill="1" applyBorder="1" applyAlignment="1">
      <alignment vertical="center"/>
    </xf>
    <xf numFmtId="164" fontId="11" fillId="0" borderId="31" xfId="1" applyNumberFormat="1" applyFont="1" applyFill="1" applyBorder="1" applyAlignment="1">
      <alignment vertical="center"/>
    </xf>
    <xf numFmtId="164" fontId="11" fillId="0" borderId="32" xfId="1" applyNumberFormat="1" applyFont="1" applyFill="1" applyBorder="1" applyAlignment="1">
      <alignment vertical="center"/>
    </xf>
    <xf numFmtId="1" fontId="11" fillId="0" borderId="21" xfId="0" applyNumberFormat="1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164" fontId="11" fillId="0" borderId="21" xfId="1" applyNumberFormat="1" applyFont="1" applyFill="1" applyBorder="1" applyAlignment="1">
      <alignment vertical="center"/>
    </xf>
    <xf numFmtId="164" fontId="11" fillId="0" borderId="22" xfId="1" applyNumberFormat="1" applyFont="1" applyFill="1" applyBorder="1" applyAlignment="1">
      <alignment vertical="center"/>
    </xf>
    <xf numFmtId="1" fontId="11" fillId="0" borderId="0" xfId="0" applyNumberFormat="1" applyFont="1" applyAlignment="1">
      <alignment horizontal="center" vertical="center"/>
    </xf>
    <xf numFmtId="1" fontId="12" fillId="0" borderId="33" xfId="0" applyNumberFormat="1" applyFont="1" applyBorder="1" applyAlignment="1">
      <alignment horizontal="centerContinuous" vertical="center"/>
    </xf>
    <xf numFmtId="0" fontId="12" fillId="0" borderId="6" xfId="0" applyFont="1" applyBorder="1" applyAlignment="1">
      <alignment horizontal="centerContinuous" vertical="center"/>
    </xf>
    <xf numFmtId="0" fontId="12" fillId="0" borderId="0" xfId="0" applyFont="1"/>
    <xf numFmtId="164" fontId="0" fillId="0" borderId="0" xfId="1" applyNumberFormat="1" applyFont="1" applyFill="1"/>
    <xf numFmtId="0" fontId="8" fillId="0" borderId="0" xfId="0" applyFont="1"/>
    <xf numFmtId="1" fontId="8" fillId="0" borderId="0" xfId="0" applyNumberFormat="1" applyFont="1" applyAlignment="1">
      <alignment horizontal="center" vertical="center"/>
    </xf>
    <xf numFmtId="0" fontId="15" fillId="0" borderId="0" xfId="0" applyFont="1"/>
    <xf numFmtId="1" fontId="8" fillId="0" borderId="0" xfId="0" applyNumberFormat="1" applyFont="1"/>
    <xf numFmtId="0" fontId="0" fillId="2" borderId="1" xfId="0" applyFill="1" applyBorder="1"/>
    <xf numFmtId="41" fontId="9" fillId="2" borderId="1" xfId="2" applyFont="1" applyFill="1" applyBorder="1"/>
    <xf numFmtId="0" fontId="9" fillId="7" borderId="1" xfId="0" applyFont="1" applyFill="1" applyBorder="1"/>
    <xf numFmtId="41" fontId="9" fillId="7" borderId="1" xfId="2" applyFont="1" applyFill="1" applyBorder="1"/>
    <xf numFmtId="41" fontId="11" fillId="0" borderId="0" xfId="0" applyNumberFormat="1" applyFont="1" applyAlignment="1">
      <alignment vertical="center"/>
    </xf>
    <xf numFmtId="9" fontId="0" fillId="2" borderId="1" xfId="3" applyFont="1" applyFill="1" applyBorder="1"/>
    <xf numFmtId="0" fontId="0" fillId="2" borderId="0" xfId="0" applyFill="1" applyAlignment="1">
      <alignment horizontal="center" vertical="center" wrapText="1"/>
    </xf>
    <xf numFmtId="41" fontId="0" fillId="2" borderId="0" xfId="2" applyFont="1" applyFill="1" applyAlignment="1">
      <alignment horizontal="center" vertical="center" wrapText="1"/>
    </xf>
    <xf numFmtId="41" fontId="0" fillId="0" borderId="0" xfId="2" applyFont="1" applyAlignment="1">
      <alignment horizontal="center" vertical="center" wrapText="1"/>
    </xf>
    <xf numFmtId="43" fontId="0" fillId="2" borderId="0" xfId="1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1" fontId="9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9" fontId="9" fillId="2" borderId="1" xfId="3" applyFont="1" applyFill="1" applyBorder="1"/>
    <xf numFmtId="0" fontId="9" fillId="2" borderId="0" xfId="0" applyFont="1" applyFill="1"/>
    <xf numFmtId="41" fontId="0" fillId="0" borderId="1" xfId="2" applyFont="1" applyBorder="1"/>
    <xf numFmtId="0" fontId="9" fillId="2" borderId="1" xfId="0" applyFont="1" applyFill="1" applyBorder="1"/>
    <xf numFmtId="0" fontId="2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 wrapText="1"/>
    </xf>
  </cellXfs>
  <cellStyles count="6">
    <cellStyle name="Millares" xfId="1" builtinId="3"/>
    <cellStyle name="Millares [0]" xfId="2" builtinId="6"/>
    <cellStyle name="Millares 2" xfId="5" xr:uid="{AC0FAE09-1E36-4DBA-9F3D-4390BC166D42}"/>
    <cellStyle name="Normal" xfId="0" builtinId="0"/>
    <cellStyle name="Normal_Hoja1 2" xfId="4" xr:uid="{289B824E-8BB2-4A8C-87FB-2EA83D51FD54}"/>
    <cellStyle name="Porcentaje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628015</xdr:colOff>
      <xdr:row>2</xdr:row>
      <xdr:rowOff>136092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354C00-45A5-4BE6-AF21-10AFFF10D4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7009" b="16316"/>
        <a:stretch/>
      </xdr:blipFill>
      <xdr:spPr>
        <a:xfrm>
          <a:off x="0" y="0"/>
          <a:ext cx="1999615" cy="574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628015</xdr:colOff>
      <xdr:row>2</xdr:row>
      <xdr:rowOff>136092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441256-CD20-4F0D-B835-4126CB513B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7009" b="16316"/>
        <a:stretch/>
      </xdr:blipFill>
      <xdr:spPr>
        <a:xfrm>
          <a:off x="0" y="0"/>
          <a:ext cx="1961515" cy="5742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1082676</xdr:colOff>
      <xdr:row>0</xdr:row>
      <xdr:rowOff>65232</xdr:rowOff>
    </xdr:from>
    <xdr:to>
      <xdr:col>3</xdr:col>
      <xdr:colOff>540253</xdr:colOff>
      <xdr:row>4</xdr:row>
      <xdr:rowOff>82601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CD871C-CBC2-4C35-9A44-E0E4BE7E0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751" y="65232"/>
          <a:ext cx="2181727" cy="588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B8DD7-DB76-431B-9B81-053F5FF1F581}">
  <sheetPr>
    <pageSetUpPr fitToPage="1"/>
  </sheetPr>
  <dimension ref="A1:U730"/>
  <sheetViews>
    <sheetView tabSelected="1" zoomScaleNormal="100" workbookViewId="0">
      <pane xSplit="2" ySplit="4" topLeftCell="J5" activePane="bottomRight" state="frozen"/>
      <selection pane="topRight" activeCell="C1" sqref="C1"/>
      <selection pane="bottomLeft" activeCell="A5" sqref="A5"/>
      <selection pane="bottomRight" activeCell="O32" sqref="O32"/>
    </sheetView>
  </sheetViews>
  <sheetFormatPr baseColWidth="10" defaultColWidth="11.42578125" defaultRowHeight="15" x14ac:dyDescent="0.25"/>
  <cols>
    <col min="1" max="1" width="20" customWidth="1"/>
    <col min="2" max="2" width="36.7109375" style="1" bestFit="1" customWidth="1"/>
    <col min="3" max="4" width="15.140625" style="3" customWidth="1"/>
    <col min="5" max="5" width="15.85546875" style="3" customWidth="1"/>
    <col min="6" max="7" width="15.140625" style="3" customWidth="1"/>
    <col min="8" max="11" width="16.5703125" style="3" bestFit="1" customWidth="1"/>
    <col min="12" max="12" width="15.28515625" style="22" customWidth="1"/>
    <col min="13" max="13" width="14.42578125" style="22" customWidth="1"/>
    <col min="14" max="14" width="15" style="22" customWidth="1"/>
    <col min="15" max="16" width="16.28515625" style="3" bestFit="1" customWidth="1"/>
    <col min="17" max="17" width="13" style="1" bestFit="1" customWidth="1"/>
    <col min="18" max="18" width="3.7109375" style="1" customWidth="1"/>
    <col min="19" max="19" width="19.7109375" style="1" bestFit="1" customWidth="1"/>
    <col min="20" max="21" width="18.85546875" style="2" bestFit="1" customWidth="1"/>
    <col min="22" max="22" width="16.85546875" style="1" bestFit="1" customWidth="1"/>
    <col min="23" max="23" width="18.85546875" style="1" bestFit="1" customWidth="1"/>
    <col min="24" max="24" width="15.140625" style="1" bestFit="1" customWidth="1"/>
    <col min="25" max="16384" width="11.42578125" style="1"/>
  </cols>
  <sheetData>
    <row r="1" spans="1:21" ht="17.25" x14ac:dyDescent="0.3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21" ht="17.25" x14ac:dyDescent="0.3">
      <c r="A2" s="137" t="s">
        <v>56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3" spans="1:21" x14ac:dyDescent="0.25">
      <c r="A3" s="1"/>
      <c r="L3" s="3"/>
      <c r="M3" s="3"/>
      <c r="N3" s="3"/>
    </row>
    <row r="4" spans="1:21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6" t="s">
        <v>16</v>
      </c>
      <c r="Q4" s="7" t="s">
        <v>17</v>
      </c>
      <c r="S4" s="4" t="s">
        <v>18</v>
      </c>
    </row>
    <row r="5" spans="1:21" x14ac:dyDescent="0.25">
      <c r="A5" s="8" t="s">
        <v>19</v>
      </c>
      <c r="B5" s="15" t="s">
        <v>20</v>
      </c>
      <c r="C5" s="21">
        <v>89598854.099999994</v>
      </c>
      <c r="D5" s="21">
        <v>141367955.40000001</v>
      </c>
      <c r="E5" s="21">
        <v>128751222.59999999</v>
      </c>
      <c r="F5" s="21">
        <v>100666093.5</v>
      </c>
      <c r="G5" s="21">
        <v>152132913.44999999</v>
      </c>
      <c r="H5" s="21">
        <v>132588690.15000001</v>
      </c>
      <c r="I5" s="21">
        <v>153639286.25</v>
      </c>
      <c r="J5" s="9">
        <v>135426266.65000001</v>
      </c>
      <c r="K5" s="9">
        <v>105410601.45</v>
      </c>
      <c r="L5" s="9">
        <v>190175002.44999999</v>
      </c>
      <c r="M5" s="9">
        <v>190879553.55000001</v>
      </c>
      <c r="N5" s="9">
        <v>145985110.94999999</v>
      </c>
      <c r="O5" s="10">
        <f>SUM(C5:N5)</f>
        <v>1666621550.5</v>
      </c>
      <c r="P5" s="10">
        <f>AVERAGE(C5:N5)</f>
        <v>138885129.20833334</v>
      </c>
      <c r="Q5" s="11">
        <f t="shared" ref="Q5:Q11" si="0">+O5/$O$30</f>
        <v>3.5123850889963179E-3</v>
      </c>
      <c r="R5" s="12"/>
      <c r="S5" s="13"/>
      <c r="U5" s="2">
        <f>+N5-M5</f>
        <v>-44894442.600000024</v>
      </c>
    </row>
    <row r="6" spans="1:21" x14ac:dyDescent="0.25">
      <c r="A6" s="8" t="s">
        <v>19</v>
      </c>
      <c r="B6" s="15" t="s">
        <v>21</v>
      </c>
      <c r="C6" s="21">
        <v>84504840</v>
      </c>
      <c r="D6" s="21">
        <v>78622845</v>
      </c>
      <c r="E6" s="21">
        <v>109849635</v>
      </c>
      <c r="F6" s="21">
        <v>116478495</v>
      </c>
      <c r="G6" s="21">
        <v>106959090</v>
      </c>
      <c r="H6" s="21">
        <v>117206250</v>
      </c>
      <c r="I6" s="21">
        <v>95026365</v>
      </c>
      <c r="J6" s="9">
        <v>125685000</v>
      </c>
      <c r="K6" s="9">
        <v>111796239.45</v>
      </c>
      <c r="L6" s="9">
        <v>90363840</v>
      </c>
      <c r="M6" s="9">
        <v>104890905</v>
      </c>
      <c r="N6" s="9">
        <v>91476735</v>
      </c>
      <c r="O6" s="10">
        <f t="shared" ref="O6:O29" si="1">SUM(C6:N6)</f>
        <v>1232860239.45</v>
      </c>
      <c r="P6" s="10">
        <f t="shared" ref="P6:P29" si="2">AVERAGE(C6:N6)</f>
        <v>102738353.28750001</v>
      </c>
      <c r="Q6" s="11">
        <f t="shared" si="0"/>
        <v>2.5982382866473141E-3</v>
      </c>
      <c r="S6" s="13"/>
      <c r="U6" s="2">
        <f t="shared" ref="U6:U29" si="3">+N6-M6</f>
        <v>-13414170</v>
      </c>
    </row>
    <row r="7" spans="1:21" x14ac:dyDescent="0.25">
      <c r="A7" s="8" t="s">
        <v>19</v>
      </c>
      <c r="B7" s="15" t="s">
        <v>22</v>
      </c>
      <c r="C7" s="21">
        <v>1169531253.45</v>
      </c>
      <c r="D7" s="21">
        <v>894045303.89999998</v>
      </c>
      <c r="E7" s="21">
        <v>1244309183.25</v>
      </c>
      <c r="F7" s="21">
        <v>981105097.35000002</v>
      </c>
      <c r="G7" s="21">
        <v>1081951204.95</v>
      </c>
      <c r="H7" s="21">
        <v>995247462.29999995</v>
      </c>
      <c r="I7" s="21">
        <v>770093400.29999995</v>
      </c>
      <c r="J7" s="9">
        <v>1275143320.5</v>
      </c>
      <c r="K7" s="9">
        <v>1186284366.75</v>
      </c>
      <c r="L7" s="9">
        <v>910819786.79999995</v>
      </c>
      <c r="M7" s="9">
        <v>817940578.35000002</v>
      </c>
      <c r="N7" s="9">
        <v>982464571.75</v>
      </c>
      <c r="O7" s="10">
        <f t="shared" si="1"/>
        <v>12308935529.65</v>
      </c>
      <c r="P7" s="10">
        <f t="shared" si="2"/>
        <v>1025744627.4708333</v>
      </c>
      <c r="Q7" s="11">
        <f t="shared" si="0"/>
        <v>2.5940935182788907E-2</v>
      </c>
      <c r="S7" s="13"/>
      <c r="U7" s="2">
        <f t="shared" si="3"/>
        <v>164523993.39999998</v>
      </c>
    </row>
    <row r="8" spans="1:21" x14ac:dyDescent="0.25">
      <c r="A8" s="8" t="s">
        <v>23</v>
      </c>
      <c r="B8" s="20" t="s">
        <v>24</v>
      </c>
      <c r="C8" s="21">
        <v>7100709132</v>
      </c>
      <c r="D8" s="36">
        <v>3319000000</v>
      </c>
      <c r="E8" s="36">
        <v>3319000000</v>
      </c>
      <c r="F8" s="36">
        <v>3319000000</v>
      </c>
      <c r="G8" s="36">
        <v>3319000000</v>
      </c>
      <c r="H8" s="36">
        <v>3319000000</v>
      </c>
      <c r="I8" s="36">
        <v>3319000000</v>
      </c>
      <c r="J8" s="37">
        <v>3844857142.8571429</v>
      </c>
      <c r="K8" s="37">
        <v>3844857142.8571429</v>
      </c>
      <c r="L8" s="37">
        <v>3844857142.8571429</v>
      </c>
      <c r="M8" s="38">
        <v>3844857142.8571429</v>
      </c>
      <c r="N8" s="38">
        <v>3844857142.8571429</v>
      </c>
      <c r="O8" s="37">
        <f t="shared" si="1"/>
        <v>46238994846.285706</v>
      </c>
      <c r="P8" s="9">
        <f t="shared" si="2"/>
        <v>3853249570.523809</v>
      </c>
      <c r="Q8" s="28">
        <f t="shared" si="0"/>
        <v>9.7448131508648395E-2</v>
      </c>
      <c r="R8" s="24"/>
      <c r="S8" s="25"/>
      <c r="T8" s="26"/>
      <c r="U8" s="26">
        <f t="shared" si="3"/>
        <v>0</v>
      </c>
    </row>
    <row r="9" spans="1:21" x14ac:dyDescent="0.25">
      <c r="A9" s="8" t="s">
        <v>23</v>
      </c>
      <c r="B9" s="20" t="s">
        <v>58</v>
      </c>
      <c r="C9" s="21">
        <v>1907329303</v>
      </c>
      <c r="D9" s="36">
        <v>1025663607</v>
      </c>
      <c r="E9" s="36">
        <v>1318710351</v>
      </c>
      <c r="F9" s="36">
        <v>1318710351</v>
      </c>
      <c r="G9" s="36">
        <v>1318710351</v>
      </c>
      <c r="H9" s="36">
        <v>1487555004.3333299</v>
      </c>
      <c r="I9" s="36">
        <v>1487555004.3333299</v>
      </c>
      <c r="J9" s="36">
        <v>1487555004.3333299</v>
      </c>
      <c r="K9" s="36">
        <v>1487555004.3333299</v>
      </c>
      <c r="L9" s="36">
        <v>1487555004.3333299</v>
      </c>
      <c r="M9" s="36">
        <v>1487555004.3333299</v>
      </c>
      <c r="N9" s="36">
        <v>1487555004.3333299</v>
      </c>
      <c r="O9" s="39">
        <f t="shared" si="1"/>
        <v>17302008993.333309</v>
      </c>
      <c r="P9" s="10">
        <f t="shared" si="2"/>
        <v>1441834082.7777758</v>
      </c>
      <c r="Q9" s="11">
        <f t="shared" si="0"/>
        <v>3.6463778102252556E-2</v>
      </c>
      <c r="R9" s="14"/>
      <c r="S9" s="13"/>
    </row>
    <row r="10" spans="1:21" x14ac:dyDescent="0.25">
      <c r="A10" s="8" t="s">
        <v>25</v>
      </c>
      <c r="B10" s="15" t="s">
        <v>26</v>
      </c>
      <c r="C10" s="21">
        <v>2693773715.3899999</v>
      </c>
      <c r="D10" s="21">
        <v>2960563706</v>
      </c>
      <c r="E10" s="9">
        <v>3250130094</v>
      </c>
      <c r="F10" s="9">
        <v>3073350603.6500001</v>
      </c>
      <c r="G10" s="9">
        <v>4406072468</v>
      </c>
      <c r="H10" s="9">
        <v>4253496365</v>
      </c>
      <c r="I10" s="9">
        <v>3802339584</v>
      </c>
      <c r="J10" s="9">
        <v>4047935140</v>
      </c>
      <c r="K10" s="9">
        <v>3118007035</v>
      </c>
      <c r="L10" s="9">
        <v>4299344391</v>
      </c>
      <c r="M10" s="9">
        <v>3311376172</v>
      </c>
      <c r="N10" s="9">
        <v>3626291550</v>
      </c>
      <c r="O10" s="10">
        <f>SUM(C10:N10)</f>
        <v>42842680824.040001</v>
      </c>
      <c r="P10" s="10">
        <f t="shared" si="2"/>
        <v>3570223402.0033336</v>
      </c>
      <c r="Q10" s="11">
        <f t="shared" si="0"/>
        <v>9.0290440114518714E-2</v>
      </c>
      <c r="S10" s="13"/>
      <c r="U10" s="2">
        <f t="shared" si="3"/>
        <v>314915378</v>
      </c>
    </row>
    <row r="11" spans="1:21" x14ac:dyDescent="0.25">
      <c r="A11" s="8" t="s">
        <v>25</v>
      </c>
      <c r="B11" s="15" t="s">
        <v>27</v>
      </c>
      <c r="C11" s="21">
        <v>94441790</v>
      </c>
      <c r="D11" s="21">
        <v>56966970.899999999</v>
      </c>
      <c r="E11" s="9">
        <v>64332496.200000003</v>
      </c>
      <c r="F11" s="9">
        <v>58233967.049999997</v>
      </c>
      <c r="G11" s="9">
        <v>60680529.049999997</v>
      </c>
      <c r="H11" s="9">
        <v>70669539.150000006</v>
      </c>
      <c r="I11" s="9">
        <v>54166295.5</v>
      </c>
      <c r="J11" s="9">
        <v>161441834.40000001</v>
      </c>
      <c r="K11" s="9">
        <v>69284016.5</v>
      </c>
      <c r="L11" s="9">
        <v>70233874.25</v>
      </c>
      <c r="M11" s="9">
        <v>103158785.09999999</v>
      </c>
      <c r="N11" s="9">
        <v>105000000</v>
      </c>
      <c r="O11" s="10">
        <f>SUM(C11:N11)</f>
        <v>968610098.10000002</v>
      </c>
      <c r="P11" s="10">
        <f t="shared" si="2"/>
        <v>80717508.174999997</v>
      </c>
      <c r="Q11" s="11">
        <f t="shared" si="0"/>
        <v>2.0413342576765755E-3</v>
      </c>
      <c r="S11" s="13"/>
      <c r="U11" s="2">
        <f t="shared" si="3"/>
        <v>1841214.900000006</v>
      </c>
    </row>
    <row r="12" spans="1:21" x14ac:dyDescent="0.25">
      <c r="A12" s="8" t="s">
        <v>25</v>
      </c>
      <c r="B12" s="15" t="s">
        <v>28</v>
      </c>
      <c r="C12" s="21">
        <v>112436331</v>
      </c>
      <c r="D12" s="21">
        <v>126448654.5</v>
      </c>
      <c r="E12" s="9">
        <v>112175912.09999999</v>
      </c>
      <c r="F12" s="9">
        <v>109466708.40000001</v>
      </c>
      <c r="G12" s="9">
        <v>93960625.5</v>
      </c>
      <c r="H12" s="9">
        <v>105500760.75</v>
      </c>
      <c r="I12" s="9">
        <v>126814522.8</v>
      </c>
      <c r="J12" s="9">
        <v>122191648.95</v>
      </c>
      <c r="K12" s="9">
        <v>119327503.05</v>
      </c>
      <c r="L12" s="9">
        <v>88288547.549999997</v>
      </c>
      <c r="M12" s="9">
        <v>83236927.200000003</v>
      </c>
      <c r="N12" s="9">
        <v>93256488.150000006</v>
      </c>
      <c r="O12" s="10">
        <f t="shared" si="1"/>
        <v>1293104629.95</v>
      </c>
      <c r="P12" s="10">
        <f t="shared" si="2"/>
        <v>107758719.16250001</v>
      </c>
      <c r="Q12" s="11"/>
      <c r="S12" s="13"/>
      <c r="U12" s="2">
        <f t="shared" si="3"/>
        <v>10019560.950000003</v>
      </c>
    </row>
    <row r="13" spans="1:21" x14ac:dyDescent="0.25">
      <c r="A13" s="8" t="s">
        <v>29</v>
      </c>
      <c r="B13" s="15" t="s">
        <v>30</v>
      </c>
      <c r="C13" s="21">
        <v>213414986.764</v>
      </c>
      <c r="D13" s="21">
        <v>239039176.704</v>
      </c>
      <c r="E13" s="9">
        <v>227420838.208</v>
      </c>
      <c r="F13" s="9">
        <v>231601201.116</v>
      </c>
      <c r="G13" s="9">
        <v>233736154.11199999</v>
      </c>
      <c r="H13" s="9">
        <v>229485702.75600001</v>
      </c>
      <c r="I13" s="9">
        <v>143046181.81599998</v>
      </c>
      <c r="J13" s="9">
        <v>228541712.648</v>
      </c>
      <c r="K13" s="9">
        <v>334149401.57200003</v>
      </c>
      <c r="L13" s="9">
        <v>229765826.16</v>
      </c>
      <c r="M13" s="9">
        <v>240211708.55199999</v>
      </c>
      <c r="N13" s="9">
        <v>275958509.69999999</v>
      </c>
      <c r="O13" s="10">
        <f t="shared" si="1"/>
        <v>2826371400.1079998</v>
      </c>
      <c r="P13" s="10">
        <f t="shared" si="2"/>
        <v>235530950.00899997</v>
      </c>
      <c r="Q13" s="11">
        <f>+O13/$O$30</f>
        <v>5.9565440988847843E-3</v>
      </c>
      <c r="S13" s="13"/>
      <c r="U13" s="2">
        <f t="shared" si="3"/>
        <v>35746801.148000002</v>
      </c>
    </row>
    <row r="14" spans="1:21" x14ac:dyDescent="0.25">
      <c r="A14" s="8" t="s">
        <v>31</v>
      </c>
      <c r="B14" s="15" t="s">
        <v>32</v>
      </c>
      <c r="C14" s="21">
        <v>4632065222.0600004</v>
      </c>
      <c r="D14" s="21">
        <v>5439674974.8599997</v>
      </c>
      <c r="E14" s="9">
        <v>5789476683.3599997</v>
      </c>
      <c r="F14" s="9">
        <v>5049899499.9200001</v>
      </c>
      <c r="G14" s="9">
        <v>6260730277.0799999</v>
      </c>
      <c r="H14" s="9">
        <v>5865614256.3000002</v>
      </c>
      <c r="I14" s="9">
        <v>6473664856.3800001</v>
      </c>
      <c r="J14" s="9">
        <v>6354155430.512001</v>
      </c>
      <c r="K14" s="9">
        <v>6417510134.6400003</v>
      </c>
      <c r="L14" s="9">
        <v>6463575740.7799997</v>
      </c>
      <c r="M14" s="9">
        <v>6110755788.0600004</v>
      </c>
      <c r="N14" s="9">
        <v>6150325980.2600002</v>
      </c>
      <c r="O14" s="10">
        <f t="shared" si="1"/>
        <v>71007448844.21199</v>
      </c>
      <c r="P14" s="10">
        <f t="shared" si="2"/>
        <v>5917287403.6843328</v>
      </c>
      <c r="Q14" s="11">
        <f>+O14/$O$30</f>
        <v>0.14964735362581585</v>
      </c>
      <c r="R14" s="12"/>
      <c r="S14" s="13">
        <v>73491663</v>
      </c>
      <c r="U14" s="2">
        <f t="shared" si="3"/>
        <v>39570192.199999809</v>
      </c>
    </row>
    <row r="15" spans="1:21" x14ac:dyDescent="0.25">
      <c r="A15" s="8" t="s">
        <v>31</v>
      </c>
      <c r="B15" s="15" t="s">
        <v>33</v>
      </c>
      <c r="C15" s="21">
        <v>2334997005</v>
      </c>
      <c r="D15" s="21">
        <v>2641647489.5999999</v>
      </c>
      <c r="E15" s="9">
        <v>2277233479.5</v>
      </c>
      <c r="F15" s="9">
        <v>2305440011.6999998</v>
      </c>
      <c r="G15" s="9">
        <v>2908778166</v>
      </c>
      <c r="H15" s="9">
        <v>2249562919.8000002</v>
      </c>
      <c r="I15" s="9">
        <v>2846950632.75</v>
      </c>
      <c r="J15" s="9">
        <v>2249562919.8000002</v>
      </c>
      <c r="K15" s="9">
        <v>1797550014.75</v>
      </c>
      <c r="L15" s="9">
        <v>1360541710.5</v>
      </c>
      <c r="M15" s="9">
        <v>2050792315.95</v>
      </c>
      <c r="N15" s="9">
        <v>2347002310.8000002</v>
      </c>
      <c r="O15" s="10">
        <f t="shared" si="1"/>
        <v>27370058976.149998</v>
      </c>
      <c r="P15" s="10">
        <f t="shared" si="2"/>
        <v>2280838248.0124998</v>
      </c>
      <c r="Q15" s="11">
        <f>+O15/$O$30</f>
        <v>5.7682073656096691E-2</v>
      </c>
      <c r="S15" s="13">
        <v>18371805</v>
      </c>
      <c r="U15" s="2">
        <f t="shared" si="3"/>
        <v>296209994.85000014</v>
      </c>
    </row>
    <row r="16" spans="1:21" x14ac:dyDescent="0.25">
      <c r="A16" s="8" t="s">
        <v>31</v>
      </c>
      <c r="B16" s="15" t="s">
        <v>34</v>
      </c>
      <c r="C16" s="21">
        <v>1832480314.3499999</v>
      </c>
      <c r="D16" s="21">
        <v>1886565584.4000001</v>
      </c>
      <c r="E16" s="9">
        <v>1815874372.2</v>
      </c>
      <c r="F16" s="9">
        <v>1655476673.55</v>
      </c>
      <c r="G16" s="9">
        <v>1513381853.55</v>
      </c>
      <c r="H16" s="9">
        <v>1658830993.05</v>
      </c>
      <c r="I16" s="9">
        <v>1773380041.6500001</v>
      </c>
      <c r="J16" s="9">
        <v>1499354767.05</v>
      </c>
      <c r="K16" s="9">
        <v>1519598607.45</v>
      </c>
      <c r="L16" s="9">
        <v>1435795621.05</v>
      </c>
      <c r="M16" s="9">
        <v>1456061996.55</v>
      </c>
      <c r="N16" s="9">
        <v>1279740716.0999999</v>
      </c>
      <c r="O16" s="10">
        <f t="shared" si="1"/>
        <v>19326541540.949997</v>
      </c>
      <c r="P16" s="10">
        <f t="shared" si="2"/>
        <v>1610545128.4124997</v>
      </c>
      <c r="Q16" s="11"/>
      <c r="S16" s="13">
        <f>+S14+S15</f>
        <v>91863468</v>
      </c>
      <c r="U16" s="2">
        <f t="shared" si="3"/>
        <v>-176321280.45000005</v>
      </c>
    </row>
    <row r="17" spans="1:21" x14ac:dyDescent="0.25">
      <c r="A17" s="8" t="s">
        <v>35</v>
      </c>
      <c r="B17" s="15" t="s">
        <v>60</v>
      </c>
      <c r="C17" s="21">
        <v>16646741456.188799</v>
      </c>
      <c r="D17" s="21">
        <v>17279397121.919998</v>
      </c>
      <c r="E17" s="21">
        <v>17279397121.919998</v>
      </c>
      <c r="F17" s="21">
        <v>17279397121.919998</v>
      </c>
      <c r="G17" s="21">
        <v>17279397121.919998</v>
      </c>
      <c r="H17" s="21">
        <v>17279397121.919998</v>
      </c>
      <c r="I17" s="21">
        <v>17279397121.919998</v>
      </c>
      <c r="J17" s="21">
        <v>17279397121.919998</v>
      </c>
      <c r="K17" s="21">
        <v>17279397121.919998</v>
      </c>
      <c r="L17" s="21">
        <v>17279397121.919998</v>
      </c>
      <c r="M17" s="21">
        <v>17279397121.919998</v>
      </c>
      <c r="N17" s="21">
        <v>17279397121.919998</v>
      </c>
      <c r="O17" s="10">
        <f t="shared" si="1"/>
        <v>206720109797.30872</v>
      </c>
      <c r="P17" s="10">
        <f t="shared" si="2"/>
        <v>17226675816.442394</v>
      </c>
      <c r="Q17" s="11">
        <f t="shared" ref="Q17:Q29" si="4">+O17/$O$30</f>
        <v>0.43566017193880557</v>
      </c>
      <c r="S17" s="13"/>
      <c r="U17" s="2">
        <f t="shared" si="3"/>
        <v>0</v>
      </c>
    </row>
    <row r="18" spans="1:21" x14ac:dyDescent="0.25">
      <c r="A18" s="8" t="s">
        <v>57</v>
      </c>
      <c r="B18" s="15" t="s">
        <v>59</v>
      </c>
      <c r="C18" s="21">
        <v>693614227.34119999</v>
      </c>
      <c r="D18" s="21">
        <v>719974880.08000004</v>
      </c>
      <c r="E18" s="21">
        <v>719974880.08000004</v>
      </c>
      <c r="F18" s="21">
        <v>719974880.08000004</v>
      </c>
      <c r="G18" s="21">
        <v>719974880.08000004</v>
      </c>
      <c r="H18" s="21">
        <v>719974880.08000004</v>
      </c>
      <c r="I18" s="21">
        <v>719974880.08000004</v>
      </c>
      <c r="J18" s="21">
        <v>719974880.08000004</v>
      </c>
      <c r="K18" s="21">
        <v>719974880.08000004</v>
      </c>
      <c r="L18" s="21">
        <v>719974880.08000004</v>
      </c>
      <c r="M18" s="21">
        <v>719974880.08000004</v>
      </c>
      <c r="N18" s="21">
        <v>719974880.08000004</v>
      </c>
      <c r="O18" s="10">
        <f t="shared" ref="O18" si="5">SUM(C18:N18)</f>
        <v>8613337908.2212009</v>
      </c>
      <c r="P18" s="10">
        <f t="shared" ref="P18" si="6">AVERAGE(C18:N18)</f>
        <v>717778159.01843345</v>
      </c>
      <c r="Q18" s="11">
        <f t="shared" si="4"/>
        <v>1.8152507164116909E-2</v>
      </c>
      <c r="S18" s="13"/>
    </row>
    <row r="19" spans="1:21" x14ac:dyDescent="0.25">
      <c r="A19" s="8" t="s">
        <v>36</v>
      </c>
      <c r="B19" s="15" t="s">
        <v>37</v>
      </c>
      <c r="C19" s="21">
        <v>203491928.42300001</v>
      </c>
      <c r="D19" s="21">
        <v>249600874.48280001</v>
      </c>
      <c r="E19" s="9">
        <v>274166235.42309999</v>
      </c>
      <c r="F19" s="9">
        <v>195174840.14230001</v>
      </c>
      <c r="G19" s="9">
        <v>254005267.94729999</v>
      </c>
      <c r="H19" s="9">
        <v>321331083.9939</v>
      </c>
      <c r="I19" s="9">
        <v>526156452.07920003</v>
      </c>
      <c r="J19" s="9">
        <v>324098144.98250002</v>
      </c>
      <c r="K19" s="9">
        <v>357479513.4368</v>
      </c>
      <c r="L19" s="9">
        <v>395062452.81230003</v>
      </c>
      <c r="M19" s="9">
        <v>199014649.21399999</v>
      </c>
      <c r="N19" s="9">
        <v>269751937.63499999</v>
      </c>
      <c r="O19" s="10">
        <f t="shared" si="1"/>
        <v>3569333380.5722008</v>
      </c>
      <c r="P19" s="10">
        <f t="shared" si="2"/>
        <v>297444448.38101673</v>
      </c>
      <c r="Q19" s="11">
        <f t="shared" si="4"/>
        <v>7.5223276332995054E-3</v>
      </c>
      <c r="R19" s="12"/>
      <c r="S19" s="13"/>
      <c r="U19" s="2">
        <f t="shared" si="3"/>
        <v>70737288.421000004</v>
      </c>
    </row>
    <row r="20" spans="1:21" x14ac:dyDescent="0.25">
      <c r="A20" s="8" t="s">
        <v>38</v>
      </c>
      <c r="B20" s="15" t="s">
        <v>39</v>
      </c>
      <c r="C20" s="21">
        <v>227511552.27849999</v>
      </c>
      <c r="D20" s="21">
        <v>135690072.3836</v>
      </c>
      <c r="E20" s="9">
        <v>252517726.2437</v>
      </c>
      <c r="F20" s="29">
        <v>286181517.60280001</v>
      </c>
      <c r="G20" s="9">
        <v>203182901.08829999</v>
      </c>
      <c r="H20" s="9">
        <v>322938906.94029999</v>
      </c>
      <c r="I20" s="9">
        <v>301137136.89139998</v>
      </c>
      <c r="J20" s="9">
        <v>408410145.8527</v>
      </c>
      <c r="K20" s="9">
        <v>406857277.35570002</v>
      </c>
      <c r="L20" s="9">
        <v>363386599.18419999</v>
      </c>
      <c r="M20" s="9">
        <v>225676460.10159999</v>
      </c>
      <c r="N20" s="9">
        <v>561979899.32980001</v>
      </c>
      <c r="O20" s="10">
        <f t="shared" si="1"/>
        <v>3695470195.2526002</v>
      </c>
      <c r="P20" s="10">
        <f t="shared" si="2"/>
        <v>307955849.60438335</v>
      </c>
      <c r="Q20" s="11">
        <f t="shared" si="4"/>
        <v>7.7881594695217186E-3</v>
      </c>
      <c r="S20" s="13"/>
      <c r="U20" s="2">
        <f t="shared" si="3"/>
        <v>336303439.22820002</v>
      </c>
    </row>
    <row r="21" spans="1:21" x14ac:dyDescent="0.25">
      <c r="A21" s="8" t="s">
        <v>40</v>
      </c>
      <c r="B21" s="20" t="s">
        <v>41</v>
      </c>
      <c r="C21" s="21">
        <v>0</v>
      </c>
      <c r="D21" s="21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10">
        <f t="shared" si="1"/>
        <v>0</v>
      </c>
      <c r="P21" s="10">
        <f t="shared" si="2"/>
        <v>0</v>
      </c>
      <c r="Q21" s="11">
        <f t="shared" si="4"/>
        <v>0</v>
      </c>
      <c r="R21" s="12"/>
      <c r="S21" s="13"/>
      <c r="U21" s="2">
        <f t="shared" si="3"/>
        <v>0</v>
      </c>
    </row>
    <row r="22" spans="1:21" x14ac:dyDescent="0.25">
      <c r="A22" s="8" t="s">
        <v>42</v>
      </c>
      <c r="B22" s="20" t="s">
        <v>43</v>
      </c>
      <c r="C22" s="21">
        <v>155574577.84050003</v>
      </c>
      <c r="D22" s="21">
        <v>189395670.44999999</v>
      </c>
      <c r="E22" s="9">
        <v>191005397.09999999</v>
      </c>
      <c r="F22" s="9">
        <v>194467644.36750001</v>
      </c>
      <c r="G22" s="9">
        <v>199253985</v>
      </c>
      <c r="H22" s="9">
        <v>193362002.40000001</v>
      </c>
      <c r="I22" s="9">
        <v>206250353.40000001</v>
      </c>
      <c r="J22" s="9">
        <v>183610651.14000002</v>
      </c>
      <c r="K22" s="9">
        <v>200666235</v>
      </c>
      <c r="L22" s="9">
        <v>195092108.40000001</v>
      </c>
      <c r="M22" s="9">
        <v>181030353</v>
      </c>
      <c r="N22" s="9">
        <v>193183407.90000001</v>
      </c>
      <c r="O22" s="10">
        <f>SUM(C22:N22)</f>
        <v>2282892385.9980006</v>
      </c>
      <c r="P22" s="10">
        <f t="shared" si="2"/>
        <v>190241032.16650006</v>
      </c>
      <c r="Q22" s="11">
        <f t="shared" si="4"/>
        <v>4.8111685427066628E-3</v>
      </c>
      <c r="S22" s="13"/>
      <c r="U22" s="2">
        <f t="shared" si="3"/>
        <v>12153054.900000006</v>
      </c>
    </row>
    <row r="23" spans="1:21" x14ac:dyDescent="0.25">
      <c r="A23" s="8" t="s">
        <v>44</v>
      </c>
      <c r="B23" s="15" t="s">
        <v>45</v>
      </c>
      <c r="C23" s="21">
        <v>5079655.3499999996</v>
      </c>
      <c r="D23" s="21">
        <v>8847568.8000000007</v>
      </c>
      <c r="E23" s="9">
        <v>8475379.5</v>
      </c>
      <c r="F23" s="9">
        <v>6572144.25</v>
      </c>
      <c r="G23" s="9">
        <v>609182.69999999995</v>
      </c>
      <c r="H23" s="9">
        <v>4165647.15</v>
      </c>
      <c r="I23" s="9">
        <v>39635474.549999997</v>
      </c>
      <c r="J23" s="9">
        <v>9067028.25</v>
      </c>
      <c r="K23" s="9">
        <v>293055</v>
      </c>
      <c r="L23" s="9">
        <v>11905621.35</v>
      </c>
      <c r="M23" s="9">
        <v>220707.9</v>
      </c>
      <c r="N23" s="9">
        <v>8534531.25</v>
      </c>
      <c r="O23" s="10">
        <f t="shared" si="1"/>
        <v>103405996.05</v>
      </c>
      <c r="P23" s="10">
        <f t="shared" si="2"/>
        <v>8617166.3375000004</v>
      </c>
      <c r="Q23" s="11">
        <f t="shared" si="4"/>
        <v>2.1792690639927743E-4</v>
      </c>
      <c r="S23" s="13"/>
      <c r="U23" s="2">
        <f t="shared" si="3"/>
        <v>8313823.3499999996</v>
      </c>
    </row>
    <row r="24" spans="1:21" x14ac:dyDescent="0.25">
      <c r="A24" s="8" t="s">
        <v>46</v>
      </c>
      <c r="B24" s="20" t="s">
        <v>47</v>
      </c>
      <c r="C24" s="21">
        <v>86759085</v>
      </c>
      <c r="D24" s="21">
        <v>57933078</v>
      </c>
      <c r="E24" s="9">
        <v>56041966.049999997</v>
      </c>
      <c r="F24" s="9">
        <v>42439065.899999999</v>
      </c>
      <c r="G24" s="9">
        <v>85264416.299999997</v>
      </c>
      <c r="H24" s="9">
        <v>62408309.25</v>
      </c>
      <c r="I24" s="9">
        <v>76876485</v>
      </c>
      <c r="J24" s="9">
        <v>91653555</v>
      </c>
      <c r="K24" s="9">
        <v>52114172.25</v>
      </c>
      <c r="L24" s="9">
        <v>51002395.5</v>
      </c>
      <c r="M24" s="9">
        <v>58773573.600000001</v>
      </c>
      <c r="N24" s="9">
        <v>93466004.099999994</v>
      </c>
      <c r="O24" s="10">
        <f t="shared" si="1"/>
        <v>814732105.95000005</v>
      </c>
      <c r="P24" s="10">
        <f t="shared" si="2"/>
        <v>67894342.162500009</v>
      </c>
      <c r="Q24" s="11">
        <f t="shared" si="4"/>
        <v>1.7170382199887127E-3</v>
      </c>
      <c r="R24" s="12"/>
      <c r="S24" s="13"/>
      <c r="U24" s="2">
        <f t="shared" si="3"/>
        <v>34692430.499999993</v>
      </c>
    </row>
    <row r="25" spans="1:21" x14ac:dyDescent="0.25">
      <c r="A25" s="8" t="s">
        <v>48</v>
      </c>
      <c r="B25" s="15" t="s">
        <v>49</v>
      </c>
      <c r="C25" s="21">
        <v>2500000</v>
      </c>
      <c r="D25" s="21">
        <v>2500000</v>
      </c>
      <c r="E25" s="21">
        <v>2500000</v>
      </c>
      <c r="F25" s="21">
        <v>2500000</v>
      </c>
      <c r="G25" s="21">
        <v>2500000</v>
      </c>
      <c r="H25" s="21">
        <v>2500000</v>
      </c>
      <c r="I25" s="21">
        <v>2500000</v>
      </c>
      <c r="J25" s="21">
        <v>2500000</v>
      </c>
      <c r="K25" s="21">
        <v>2500000</v>
      </c>
      <c r="L25" s="21">
        <v>2500000</v>
      </c>
      <c r="M25" s="21">
        <v>2500000</v>
      </c>
      <c r="N25" s="21">
        <v>2500000</v>
      </c>
      <c r="O25" s="10">
        <f t="shared" si="1"/>
        <v>30000000</v>
      </c>
      <c r="P25" s="10">
        <f t="shared" si="2"/>
        <v>2500000</v>
      </c>
      <c r="Q25" s="11">
        <f t="shared" si="4"/>
        <v>6.3224643074054338E-5</v>
      </c>
      <c r="S25" s="13"/>
      <c r="U25" s="2">
        <f t="shared" si="3"/>
        <v>0</v>
      </c>
    </row>
    <row r="26" spans="1:21" x14ac:dyDescent="0.25">
      <c r="A26" s="8" t="s">
        <v>50</v>
      </c>
      <c r="B26" s="20" t="s">
        <v>51</v>
      </c>
      <c r="C26" s="21">
        <v>48312849.847500004</v>
      </c>
      <c r="D26" s="21">
        <v>14728600.6875</v>
      </c>
      <c r="E26" s="9">
        <v>14644042.245000001</v>
      </c>
      <c r="F26" s="9">
        <v>19545624.945</v>
      </c>
      <c r="G26" s="9">
        <v>79669147.162499994</v>
      </c>
      <c r="H26" s="9">
        <v>80199017.482500002</v>
      </c>
      <c r="I26" s="9">
        <v>113284259.70750001</v>
      </c>
      <c r="J26" s="9">
        <v>41070750.195825003</v>
      </c>
      <c r="K26" s="9">
        <v>57198202.739999995</v>
      </c>
      <c r="L26" s="9">
        <v>39929153.197500005</v>
      </c>
      <c r="M26" s="9">
        <v>38317038.0075</v>
      </c>
      <c r="N26" s="9">
        <v>39629484.877499998</v>
      </c>
      <c r="O26" s="10">
        <f t="shared" si="1"/>
        <v>586528171.09582496</v>
      </c>
      <c r="P26" s="10">
        <f t="shared" si="2"/>
        <v>48877347.591318749</v>
      </c>
      <c r="Q26" s="11">
        <f t="shared" si="4"/>
        <v>1.236101142347047E-3</v>
      </c>
      <c r="S26" s="13"/>
      <c r="U26" s="2">
        <f t="shared" si="3"/>
        <v>1312446.8699999973</v>
      </c>
    </row>
    <row r="27" spans="1:21" x14ac:dyDescent="0.25">
      <c r="A27" s="8" t="s">
        <v>50</v>
      </c>
      <c r="B27" s="15" t="s">
        <v>52</v>
      </c>
      <c r="C27" s="21">
        <v>2113593.2999999998</v>
      </c>
      <c r="D27" s="21">
        <v>6808090.7999999998</v>
      </c>
      <c r="E27" s="9">
        <v>4282859.7</v>
      </c>
      <c r="F27" s="9">
        <v>4136879.25</v>
      </c>
      <c r="G27" s="9">
        <v>10670847.6</v>
      </c>
      <c r="H27" s="9">
        <v>3047338.35</v>
      </c>
      <c r="I27" s="9">
        <v>468267.45</v>
      </c>
      <c r="J27" s="9">
        <v>4956157.5</v>
      </c>
      <c r="K27" s="9">
        <v>1900276.35</v>
      </c>
      <c r="L27" s="9">
        <v>9090546.1500000004</v>
      </c>
      <c r="M27" s="9">
        <v>4421267.55</v>
      </c>
      <c r="N27" s="9">
        <v>1589483.7</v>
      </c>
      <c r="O27" s="10">
        <f t="shared" si="1"/>
        <v>53485607.700000003</v>
      </c>
      <c r="P27" s="10">
        <f t="shared" si="2"/>
        <v>4457133.9750000006</v>
      </c>
      <c r="Q27" s="11">
        <f t="shared" si="4"/>
        <v>1.1272028188104642E-4</v>
      </c>
      <c r="S27" s="13"/>
      <c r="U27" s="2">
        <f t="shared" si="3"/>
        <v>-2831783.8499999996</v>
      </c>
    </row>
    <row r="28" spans="1:21" x14ac:dyDescent="0.25">
      <c r="A28" s="8" t="s">
        <v>50</v>
      </c>
      <c r="B28" s="15" t="s">
        <v>53</v>
      </c>
      <c r="C28" s="21">
        <v>71557615.867499992</v>
      </c>
      <c r="D28" s="21">
        <v>30598172.009999998</v>
      </c>
      <c r="E28" s="9">
        <v>176663241.72</v>
      </c>
      <c r="F28" s="9">
        <v>160737759.315</v>
      </c>
      <c r="G28" s="9">
        <v>160737759.315</v>
      </c>
      <c r="H28" s="9">
        <v>159380395.49250001</v>
      </c>
      <c r="I28" s="9">
        <v>34139028.262500003</v>
      </c>
      <c r="J28" s="9">
        <v>113243704.245</v>
      </c>
      <c r="K28" s="9">
        <v>493236547.01999998</v>
      </c>
      <c r="L28" s="9">
        <v>148732480.25999999</v>
      </c>
      <c r="M28" s="9">
        <v>73546893</v>
      </c>
      <c r="N28" s="9">
        <v>294833413.1925</v>
      </c>
      <c r="O28" s="10">
        <f t="shared" si="1"/>
        <v>1917407009.6999998</v>
      </c>
      <c r="P28" s="10">
        <f t="shared" si="2"/>
        <v>159783917.47499999</v>
      </c>
      <c r="Q28" s="11">
        <f t="shared" si="4"/>
        <v>4.0409124605324115E-3</v>
      </c>
      <c r="S28" s="13"/>
      <c r="U28" s="2">
        <f t="shared" si="3"/>
        <v>221286520.1925</v>
      </c>
    </row>
    <row r="29" spans="1:21" x14ac:dyDescent="0.25">
      <c r="A29" s="8" t="s">
        <v>50</v>
      </c>
      <c r="B29" s="15" t="s">
        <v>54</v>
      </c>
      <c r="C29" s="21">
        <v>128446638</v>
      </c>
      <c r="D29" s="21">
        <v>190710738</v>
      </c>
      <c r="E29" s="9">
        <v>161750338</v>
      </c>
      <c r="F29" s="9">
        <v>125301938</v>
      </c>
      <c r="G29" s="9">
        <v>125301938</v>
      </c>
      <c r="H29" s="9">
        <v>125301938</v>
      </c>
      <c r="I29" s="9">
        <v>126141938</v>
      </c>
      <c r="J29" s="9">
        <v>125451938</v>
      </c>
      <c r="K29" s="9">
        <v>125301938</v>
      </c>
      <c r="L29" s="9">
        <v>131631838</v>
      </c>
      <c r="M29" s="9">
        <v>167412238</v>
      </c>
      <c r="N29" s="9">
        <v>194833413.1925</v>
      </c>
      <c r="O29" s="10">
        <f t="shared" si="1"/>
        <v>1727586831.1925001</v>
      </c>
      <c r="P29" s="10">
        <f t="shared" si="2"/>
        <v>143965569.26604167</v>
      </c>
      <c r="Q29" s="11">
        <f t="shared" si="4"/>
        <v>3.6408686927194129E-3</v>
      </c>
      <c r="S29" s="13"/>
      <c r="U29" s="2">
        <f t="shared" si="3"/>
        <v>27421175.192499995</v>
      </c>
    </row>
    <row r="30" spans="1:21" x14ac:dyDescent="0.25">
      <c r="A30" s="16"/>
      <c r="B30" s="17" t="s">
        <v>55</v>
      </c>
      <c r="C30" s="18">
        <f t="shared" ref="C30:Q30" si="7">SUM(C5:C29)</f>
        <v>40536985926.551003</v>
      </c>
      <c r="D30" s="18">
        <f t="shared" si="7"/>
        <v>37695791135.877907</v>
      </c>
      <c r="E30" s="18">
        <f t="shared" si="7"/>
        <v>38798683455.399803</v>
      </c>
      <c r="F30" s="18">
        <f t="shared" si="7"/>
        <v>37355858118.008598</v>
      </c>
      <c r="G30" s="18">
        <f t="shared" si="7"/>
        <v>40576661079.805107</v>
      </c>
      <c r="H30" s="18">
        <f t="shared" si="7"/>
        <v>39758764584.648521</v>
      </c>
      <c r="I30" s="18">
        <f t="shared" si="7"/>
        <v>40471637568.119926</v>
      </c>
      <c r="J30" s="18">
        <f t="shared" si="7"/>
        <v>40835284264.866493</v>
      </c>
      <c r="K30" s="18">
        <f t="shared" si="7"/>
        <v>39808249286.954964</v>
      </c>
      <c r="L30" s="18">
        <f t="shared" si="7"/>
        <v>39819021684.584473</v>
      </c>
      <c r="M30" s="18">
        <f t="shared" si="7"/>
        <v>38752002059.875572</v>
      </c>
      <c r="N30" s="18">
        <f t="shared" si="7"/>
        <v>40089587697.077766</v>
      </c>
      <c r="O30" s="18">
        <f t="shared" si="7"/>
        <v>474498526861.77008</v>
      </c>
      <c r="P30" s="18">
        <f t="shared" si="7"/>
        <v>39541543905.147507</v>
      </c>
      <c r="Q30" s="19">
        <f t="shared" si="7"/>
        <v>0.95654434101771846</v>
      </c>
      <c r="S30" s="18">
        <f>SUM(S5:S29)</f>
        <v>183726936</v>
      </c>
    </row>
    <row r="31" spans="1:21" s="2" customFormat="1" x14ac:dyDescent="0.25">
      <c r="A31" s="1"/>
      <c r="B31" s="1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>
        <v>518237622164.37531</v>
      </c>
      <c r="P31" s="3" t="s">
        <v>383</v>
      </c>
      <c r="Q31" s="1"/>
      <c r="R31" s="1"/>
      <c r="S31" s="1"/>
    </row>
    <row r="32" spans="1:21" s="2" customFormat="1" x14ac:dyDescent="0.25">
      <c r="A32" s="1"/>
      <c r="B32" s="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5">
        <f>+O31-O30</f>
        <v>43739095302.605225</v>
      </c>
      <c r="P32" s="3"/>
      <c r="Q32" s="1"/>
      <c r="R32" s="1"/>
      <c r="S32" s="1"/>
    </row>
    <row r="33" spans="1:21" s="34" customFormat="1" ht="26.25" x14ac:dyDescent="0.25">
      <c r="A33" s="30" t="s">
        <v>63</v>
      </c>
      <c r="B33" s="31" t="s">
        <v>55</v>
      </c>
      <c r="C33" s="32">
        <v>40978883624</v>
      </c>
      <c r="D33" s="32">
        <v>39114779255</v>
      </c>
      <c r="E33" s="32">
        <v>37570019170</v>
      </c>
      <c r="F33" s="32">
        <v>34165427822</v>
      </c>
      <c r="G33" s="32">
        <v>39937047889</v>
      </c>
      <c r="H33" s="32">
        <v>40603606888</v>
      </c>
      <c r="I33" s="32">
        <v>37174240165</v>
      </c>
      <c r="J33" s="32">
        <v>38976421314.129997</v>
      </c>
      <c r="K33" s="32">
        <v>43342806424</v>
      </c>
      <c r="L33" s="32">
        <v>39981856014</v>
      </c>
      <c r="M33" s="32">
        <v>36167847011</v>
      </c>
      <c r="N33" s="32">
        <v>39961109439</v>
      </c>
      <c r="O33" s="32">
        <v>467974045015.13</v>
      </c>
      <c r="P33" s="32">
        <v>39004432857.859329</v>
      </c>
      <c r="Q33" s="33"/>
      <c r="R33" s="33"/>
      <c r="S33" s="33"/>
    </row>
    <row r="34" spans="1:21" s="2" customFormat="1" x14ac:dyDescent="0.25">
      <c r="A34" s="1"/>
      <c r="B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1"/>
      <c r="R34" s="1"/>
      <c r="S34" s="1"/>
    </row>
    <row r="35" spans="1:21" x14ac:dyDescent="0.25">
      <c r="A35" s="1" t="s">
        <v>62</v>
      </c>
      <c r="O35" s="35">
        <f>+O30-O33</f>
        <v>6524481846.6400757</v>
      </c>
      <c r="P35" s="35">
        <f>+P30-P33</f>
        <v>537111047.28817749</v>
      </c>
    </row>
    <row r="36" spans="1:21" s="3" customFormat="1" x14ac:dyDescent="0.25">
      <c r="A36" s="1"/>
      <c r="B36" s="1"/>
      <c r="L36" s="22"/>
      <c r="M36" s="22"/>
      <c r="N36" s="22"/>
      <c r="Q36" s="1"/>
      <c r="R36" s="1"/>
      <c r="S36" s="1"/>
      <c r="T36" s="2"/>
      <c r="U36" s="2"/>
    </row>
    <row r="37" spans="1:21" s="3" customFormat="1" x14ac:dyDescent="0.25">
      <c r="A37" s="1"/>
      <c r="B37" s="1"/>
      <c r="C37" s="27">
        <v>0.05</v>
      </c>
      <c r="D37" s="27">
        <v>0.05</v>
      </c>
      <c r="E37" s="27">
        <v>0.05</v>
      </c>
      <c r="F37" s="27">
        <v>0.05</v>
      </c>
      <c r="G37" s="27">
        <v>0.05</v>
      </c>
      <c r="H37" s="27">
        <v>0.05</v>
      </c>
      <c r="I37" s="27">
        <v>0.05</v>
      </c>
      <c r="J37" s="27">
        <v>0.05</v>
      </c>
      <c r="K37" s="27">
        <v>0.05</v>
      </c>
      <c r="L37" s="27">
        <v>0.05</v>
      </c>
      <c r="M37" s="27">
        <v>0.05</v>
      </c>
      <c r="N37" s="27">
        <v>0.05</v>
      </c>
      <c r="Q37" s="1"/>
      <c r="R37" s="1"/>
      <c r="S37" s="1"/>
      <c r="T37" s="2"/>
      <c r="U37" s="2"/>
    </row>
    <row r="38" spans="1:21" s="3" customFormat="1" x14ac:dyDescent="0.25">
      <c r="A38" s="1"/>
      <c r="B38" s="1"/>
      <c r="C38" s="23">
        <f>+(C37*C39)+C39</f>
        <v>0</v>
      </c>
      <c r="D38" s="23">
        <f t="shared" ref="D38:N38" si="8">+(D37*D39)+D39</f>
        <v>0</v>
      </c>
      <c r="E38" s="23">
        <f t="shared" si="8"/>
        <v>0</v>
      </c>
      <c r="F38" s="23">
        <f t="shared" si="8"/>
        <v>0</v>
      </c>
      <c r="G38" s="23">
        <f t="shared" si="8"/>
        <v>0</v>
      </c>
      <c r="H38" s="23">
        <f t="shared" si="8"/>
        <v>0</v>
      </c>
      <c r="I38" s="23">
        <f t="shared" si="8"/>
        <v>0</v>
      </c>
      <c r="J38" s="23">
        <f t="shared" si="8"/>
        <v>0</v>
      </c>
      <c r="K38" s="23">
        <f t="shared" si="8"/>
        <v>0</v>
      </c>
      <c r="L38" s="23">
        <f t="shared" si="8"/>
        <v>0</v>
      </c>
      <c r="M38" s="23">
        <f t="shared" si="8"/>
        <v>0</v>
      </c>
      <c r="N38" s="23">
        <f t="shared" si="8"/>
        <v>0</v>
      </c>
      <c r="Q38" s="1"/>
      <c r="R38" s="1"/>
      <c r="S38" s="1"/>
      <c r="T38" s="2"/>
      <c r="U38" s="2"/>
    </row>
    <row r="39" spans="1:21" s="3" customFormat="1" x14ac:dyDescent="0.25">
      <c r="A39" s="1"/>
      <c r="B39" s="23" t="s">
        <v>61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Q39" s="1"/>
      <c r="R39" s="1"/>
      <c r="S39" s="1"/>
      <c r="T39" s="2"/>
      <c r="U39" s="2"/>
    </row>
    <row r="40" spans="1:21" s="3" customFormat="1" x14ac:dyDescent="0.25">
      <c r="A40" s="1"/>
      <c r="B40" s="1"/>
      <c r="Q40" s="1"/>
      <c r="R40" s="1"/>
      <c r="S40" s="1"/>
      <c r="T40" s="2"/>
      <c r="U40" s="2"/>
    </row>
    <row r="41" spans="1:21" s="3" customFormat="1" x14ac:dyDescent="0.25">
      <c r="A41" s="1"/>
      <c r="B41" s="1" t="s">
        <v>64</v>
      </c>
      <c r="C41" s="3">
        <f>+C33-C30</f>
        <v>441897697.4489975</v>
      </c>
      <c r="D41" s="3">
        <f t="shared" ref="D41:O41" si="9">+D33-D30</f>
        <v>1418988119.1220932</v>
      </c>
      <c r="E41" s="3">
        <f t="shared" si="9"/>
        <v>-1228664285.3998032</v>
      </c>
      <c r="F41" s="3">
        <f t="shared" si="9"/>
        <v>-3190430296.0085983</v>
      </c>
      <c r="G41" s="3">
        <f t="shared" si="9"/>
        <v>-639613190.80510712</v>
      </c>
      <c r="H41" s="3">
        <f t="shared" si="9"/>
        <v>844842303.35147858</v>
      </c>
      <c r="I41" s="3">
        <f t="shared" si="9"/>
        <v>-3297397403.1199265</v>
      </c>
      <c r="J41" s="3">
        <f t="shared" si="9"/>
        <v>-1858862950.736496</v>
      </c>
      <c r="K41" s="3">
        <f t="shared" si="9"/>
        <v>3534557137.0450363</v>
      </c>
      <c r="L41" s="3">
        <f t="shared" si="9"/>
        <v>162834329.41552734</v>
      </c>
      <c r="M41" s="3">
        <f t="shared" si="9"/>
        <v>-2584155048.8755722</v>
      </c>
      <c r="N41" s="3">
        <f t="shared" si="9"/>
        <v>-128478258.07776642</v>
      </c>
      <c r="O41" s="3">
        <f t="shared" si="9"/>
        <v>-6524481846.6400757</v>
      </c>
      <c r="P41" s="3">
        <f>SUM(C41:O41)</f>
        <v>-13048963693.280212</v>
      </c>
      <c r="Q41" s="1"/>
      <c r="R41" s="1"/>
      <c r="S41" s="1"/>
      <c r="T41" s="2"/>
      <c r="U41" s="2"/>
    </row>
    <row r="42" spans="1:21" s="3" customFormat="1" x14ac:dyDescent="0.25">
      <c r="A42" s="1"/>
      <c r="B42" s="1" t="s">
        <v>65</v>
      </c>
      <c r="C42" s="40">
        <f>+C41/C33</f>
        <v>1.0783546509065767E-2</v>
      </c>
      <c r="D42" s="40">
        <f t="shared" ref="D42:P42" si="10">+D41/D33</f>
        <v>3.6277543837620031E-2</v>
      </c>
      <c r="E42" s="40">
        <f t="shared" si="10"/>
        <v>-3.2703318032398093E-2</v>
      </c>
      <c r="F42" s="40">
        <f t="shared" si="10"/>
        <v>-9.3381833607662251E-2</v>
      </c>
      <c r="G42" s="40">
        <f t="shared" si="10"/>
        <v>-1.6015535063653965E-2</v>
      </c>
      <c r="H42" s="40">
        <f t="shared" si="10"/>
        <v>2.0807075235504839E-2</v>
      </c>
      <c r="I42" s="40">
        <f t="shared" si="10"/>
        <v>-8.8701137897754967E-2</v>
      </c>
      <c r="J42" s="40">
        <f t="shared" si="10"/>
        <v>-4.7691986284605567E-2</v>
      </c>
      <c r="K42" s="40">
        <f t="shared" si="10"/>
        <v>8.1548875780407773E-2</v>
      </c>
      <c r="L42" s="40">
        <f t="shared" si="10"/>
        <v>4.0727056132288976E-3</v>
      </c>
      <c r="M42" s="40">
        <f t="shared" si="10"/>
        <v>-7.1448959847945429E-2</v>
      </c>
      <c r="N42" s="40">
        <f t="shared" si="10"/>
        <v>-3.2150823608610378E-3</v>
      </c>
      <c r="O42" s="40">
        <f t="shared" si="10"/>
        <v>-1.394197374008025E-2</v>
      </c>
      <c r="P42" s="40">
        <f t="shared" si="10"/>
        <v>-0.33455078659478232</v>
      </c>
      <c r="Q42" s="1"/>
      <c r="R42" s="1"/>
      <c r="S42" s="1"/>
      <c r="T42" s="2"/>
      <c r="U42" s="2"/>
    </row>
    <row r="43" spans="1:21" s="3" customFormat="1" x14ac:dyDescent="0.25">
      <c r="A43" s="1"/>
      <c r="B43" s="1"/>
      <c r="C43" s="1"/>
      <c r="D43" s="1"/>
      <c r="E43" s="1"/>
      <c r="F43" s="1"/>
      <c r="G43" s="1"/>
      <c r="H43" s="1"/>
      <c r="I43" s="1"/>
      <c r="J43" s="12"/>
      <c r="K43" s="12"/>
      <c r="L43" s="12"/>
      <c r="M43" s="12"/>
      <c r="N43" s="12"/>
      <c r="O43" s="1"/>
      <c r="Q43" s="1"/>
      <c r="R43" s="1"/>
      <c r="S43" s="1"/>
      <c r="T43" s="2"/>
      <c r="U43" s="2"/>
    </row>
    <row r="44" spans="1:21" x14ac:dyDescent="0.25">
      <c r="A44" s="1"/>
    </row>
    <row r="45" spans="1:21" x14ac:dyDescent="0.25">
      <c r="A45" s="1"/>
    </row>
    <row r="46" spans="1:21" x14ac:dyDescent="0.25">
      <c r="A46" s="1"/>
    </row>
    <row r="47" spans="1:21" x14ac:dyDescent="0.25">
      <c r="A47" s="1"/>
    </row>
    <row r="48" spans="1:2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</sheetData>
  <autoFilter ref="A4:X30" xr:uid="{00000000-0009-0000-0000-000000000000}"/>
  <mergeCells count="2">
    <mergeCell ref="A1:Q1"/>
    <mergeCell ref="A2:Q2"/>
  </mergeCells>
  <pageMargins left="0.39370078740157483" right="0.39370078740157483" top="0.39370078740157483" bottom="0.39370078740157483" header="0.31496062992125984" footer="0.31496062992125984"/>
  <pageSetup scale="42" fitToHeight="1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21B3D-38DC-45DA-B410-A9F01E7E1C67}">
  <sheetPr>
    <pageSetUpPr fitToPage="1"/>
  </sheetPr>
  <dimension ref="A1:U721"/>
  <sheetViews>
    <sheetView zoomScaleNormal="100" workbookViewId="0">
      <pane xSplit="2" ySplit="4" topLeftCell="C25" activePane="bottomRight" state="frozen"/>
      <selection pane="topRight" activeCell="C1" sqref="C1"/>
      <selection pane="bottomLeft" activeCell="A5" sqref="A5"/>
      <selection pane="bottomRight" activeCell="A44" sqref="A44"/>
    </sheetView>
  </sheetViews>
  <sheetFormatPr baseColWidth="10" defaultColWidth="11.42578125" defaultRowHeight="15" x14ac:dyDescent="0.25"/>
  <cols>
    <col min="1" max="1" width="20" customWidth="1"/>
    <col min="2" max="2" width="36.7109375" style="1" bestFit="1" customWidth="1"/>
    <col min="3" max="4" width="16.28515625" style="3" bestFit="1" customWidth="1"/>
    <col min="5" max="5" width="15.85546875" style="3" customWidth="1"/>
    <col min="6" max="7" width="15.140625" style="3" customWidth="1"/>
    <col min="8" max="11" width="16.5703125" style="3" bestFit="1" customWidth="1"/>
    <col min="12" max="12" width="15.28515625" style="22" customWidth="1"/>
    <col min="13" max="13" width="16.140625" style="22" bestFit="1" customWidth="1"/>
    <col min="14" max="14" width="15" style="22" customWidth="1"/>
    <col min="15" max="16" width="16.28515625" style="3" bestFit="1" customWidth="1"/>
    <col min="17" max="17" width="13" style="1" bestFit="1" customWidth="1"/>
    <col min="18" max="18" width="3.7109375" style="1" customWidth="1"/>
    <col min="19" max="19" width="19.7109375" style="1" bestFit="1" customWidth="1"/>
    <col min="20" max="21" width="18.85546875" style="2" bestFit="1" customWidth="1"/>
    <col min="22" max="22" width="16.85546875" style="1" bestFit="1" customWidth="1"/>
    <col min="23" max="23" width="18.85546875" style="1" bestFit="1" customWidth="1"/>
    <col min="24" max="24" width="15.140625" style="1" bestFit="1" customWidth="1"/>
    <col min="25" max="16384" width="11.42578125" style="1"/>
  </cols>
  <sheetData>
    <row r="1" spans="1:21" ht="17.25" x14ac:dyDescent="0.3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21" ht="17.25" x14ac:dyDescent="0.3">
      <c r="A2" s="137" t="s">
        <v>56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3" spans="1:21" x14ac:dyDescent="0.25">
      <c r="A3" s="1"/>
      <c r="L3" s="3"/>
      <c r="M3" s="3"/>
      <c r="N3" s="3"/>
    </row>
    <row r="4" spans="1:21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6" t="s">
        <v>16</v>
      </c>
      <c r="Q4" s="7" t="s">
        <v>17</v>
      </c>
      <c r="S4" s="4" t="s">
        <v>373</v>
      </c>
    </row>
    <row r="5" spans="1:21" x14ac:dyDescent="0.25">
      <c r="A5" s="8" t="s">
        <v>19</v>
      </c>
      <c r="B5" s="15" t="s">
        <v>20</v>
      </c>
      <c r="C5" s="21"/>
      <c r="D5" s="21">
        <f>+'RESUMEN FACT'!C5*80%</f>
        <v>71679083.280000001</v>
      </c>
      <c r="E5" s="21">
        <f>+'RESUMEN FACT'!D5*80%</f>
        <v>113094364.32000001</v>
      </c>
      <c r="F5" s="21">
        <f>+'RESUMEN FACT'!E5*80%</f>
        <v>103000978.08</v>
      </c>
      <c r="G5" s="21">
        <f>+'RESUMEN FACT'!F5*80%</f>
        <v>80532874.800000012</v>
      </c>
      <c r="H5" s="21">
        <f>+'RESUMEN FACT'!G5*80%</f>
        <v>121706330.75999999</v>
      </c>
      <c r="I5" s="21">
        <f>+'RESUMEN FACT'!H5*80%</f>
        <v>106070952.12</v>
      </c>
      <c r="J5" s="21">
        <f>+'RESUMEN FACT'!I5*80%</f>
        <v>122911429</v>
      </c>
      <c r="K5" s="21">
        <f>+'RESUMEN FACT'!J5*80%</f>
        <v>108341013.32000001</v>
      </c>
      <c r="L5" s="21">
        <f>+'RESUMEN FACT'!K5*80%</f>
        <v>84328481.160000011</v>
      </c>
      <c r="M5" s="21">
        <f>+'RESUMEN FACT'!L5*80%</f>
        <v>152140001.96000001</v>
      </c>
      <c r="N5" s="21">
        <f>+'RESUMEN FACT'!M5*80%</f>
        <v>152703642.84</v>
      </c>
      <c r="O5" s="10">
        <f>SUM(C5:N5)</f>
        <v>1216509151.6400001</v>
      </c>
      <c r="P5" s="10">
        <f>AVERAGE(C5:N5)</f>
        <v>110591741.05818182</v>
      </c>
      <c r="Q5" s="11">
        <f t="shared" ref="Q5:Q11" si="0">+O5/$O$30</f>
        <v>3.2721652082432408E-3</v>
      </c>
      <c r="R5" s="12"/>
      <c r="S5" s="125">
        <f>+O5/'RESUMEN FACT'!O5</f>
        <v>0.72992524984153573</v>
      </c>
    </row>
    <row r="6" spans="1:21" x14ac:dyDescent="0.25">
      <c r="A6" s="8" t="s">
        <v>19</v>
      </c>
      <c r="B6" s="15" t="s">
        <v>21</v>
      </c>
      <c r="C6" s="21"/>
      <c r="D6" s="21">
        <f>+'RESUMEN FACT'!C6*60%</f>
        <v>50702904</v>
      </c>
      <c r="E6" s="21">
        <f>+'RESUMEN FACT'!D6*60%</f>
        <v>47173707</v>
      </c>
      <c r="F6" s="21">
        <f>+'RESUMEN FACT'!E6*60%</f>
        <v>65909781</v>
      </c>
      <c r="G6" s="21">
        <f>+'RESUMEN FACT'!F6*60%</f>
        <v>69887097</v>
      </c>
      <c r="H6" s="21">
        <f>+'RESUMEN FACT'!G6*60%</f>
        <v>64175454</v>
      </c>
      <c r="I6" s="21">
        <f>+'RESUMEN FACT'!H6*90%</f>
        <v>105485625</v>
      </c>
      <c r="J6" s="21">
        <f>+'RESUMEN FACT'!I6*90%</f>
        <v>85523728.5</v>
      </c>
      <c r="K6" s="21">
        <f>+'RESUMEN FACT'!J6*90%</f>
        <v>113116500</v>
      </c>
      <c r="L6" s="21">
        <f>+'RESUMEN FACT'!K6*90%</f>
        <v>100616615.50500001</v>
      </c>
      <c r="M6" s="21">
        <f>+'RESUMEN FACT'!L6*90%</f>
        <v>81327456</v>
      </c>
      <c r="N6" s="21">
        <f>+'RESUMEN FACT'!M6*90%</f>
        <v>94401814.5</v>
      </c>
      <c r="O6" s="10">
        <f t="shared" ref="O6:O29" si="1">SUM(C6:N6)</f>
        <v>878320682.505</v>
      </c>
      <c r="P6" s="10">
        <f t="shared" ref="P6:P30" si="2">AVERAGE(C6:N6)</f>
        <v>79847334.773181811</v>
      </c>
      <c r="Q6" s="11">
        <f t="shared" si="0"/>
        <v>2.3625061719419111E-3</v>
      </c>
      <c r="S6" s="125">
        <f>+O6/'RESUMEN FACT'!O6</f>
        <v>0.71242518365004115</v>
      </c>
    </row>
    <row r="7" spans="1:21" x14ac:dyDescent="0.25">
      <c r="A7" s="8" t="s">
        <v>19</v>
      </c>
      <c r="B7" s="15" t="s">
        <v>22</v>
      </c>
      <c r="C7" s="21"/>
      <c r="D7" s="21">
        <f>+'RESUMEN FACT'!C7*0.8</f>
        <v>935625002.76000011</v>
      </c>
      <c r="E7" s="21">
        <f>+'RESUMEN FACT'!D7*0.8</f>
        <v>715236243.12</v>
      </c>
      <c r="F7" s="21">
        <f>+'RESUMEN FACT'!E7*0.8</f>
        <v>995447346.60000002</v>
      </c>
      <c r="G7" s="21">
        <f>+'RESUMEN FACT'!F7*0.8</f>
        <v>784884077.88000011</v>
      </c>
      <c r="H7" s="21">
        <f>+'RESUMEN FACT'!G7*0.8</f>
        <v>865560963.96000004</v>
      </c>
      <c r="I7" s="21">
        <f>+'RESUMEN FACT'!H7*0.8</f>
        <v>796197969.84000003</v>
      </c>
      <c r="J7" s="21">
        <f>+'RESUMEN FACT'!I7*0.8</f>
        <v>616074720.24000001</v>
      </c>
      <c r="K7" s="21">
        <f>+'RESUMEN FACT'!J7*0.8</f>
        <v>1020114656.4000001</v>
      </c>
      <c r="L7" s="21">
        <f>+'RESUMEN FACT'!K7*0.8</f>
        <v>949027493.4000001</v>
      </c>
      <c r="M7" s="21">
        <f>+'RESUMEN FACT'!L7*0.8</f>
        <v>728655829.44000006</v>
      </c>
      <c r="N7" s="21">
        <f>+'RESUMEN FACT'!M7*0.8</f>
        <v>654352462.68000007</v>
      </c>
      <c r="O7" s="10">
        <f t="shared" si="1"/>
        <v>9061176766.3199997</v>
      </c>
      <c r="P7" s="10">
        <f t="shared" si="2"/>
        <v>823743342.39272726</v>
      </c>
      <c r="Q7" s="11">
        <f t="shared" si="0"/>
        <v>2.4372745014308354E-2</v>
      </c>
      <c r="S7" s="125">
        <f>+O7/'RESUMEN FACT'!O7</f>
        <v>0.73614625281717205</v>
      </c>
      <c r="T7" s="2" t="s">
        <v>376</v>
      </c>
    </row>
    <row r="8" spans="1:21" x14ac:dyDescent="0.25">
      <c r="A8" s="8" t="s">
        <v>23</v>
      </c>
      <c r="B8" s="20" t="s">
        <v>24</v>
      </c>
      <c r="C8" s="21"/>
      <c r="D8" s="21">
        <f>+'RESUMEN FACT'!C8*88%</f>
        <v>6248624036.1599998</v>
      </c>
      <c r="E8" s="21">
        <f>+'RESUMEN FACT'!D8*88%</f>
        <v>2920720000</v>
      </c>
      <c r="F8" s="21">
        <f>+'RESUMEN FACT'!E8*88%</f>
        <v>2920720000</v>
      </c>
      <c r="G8" s="21">
        <f>+'RESUMEN FACT'!F8*88%</f>
        <v>2920720000</v>
      </c>
      <c r="H8" s="21">
        <f>+'RESUMEN FACT'!G8*88%</f>
        <v>2920720000</v>
      </c>
      <c r="I8" s="21">
        <f>+'RESUMEN FACT'!H8*88%</f>
        <v>2920720000</v>
      </c>
      <c r="J8" s="21">
        <f>+'RESUMEN FACT'!I8*88%</f>
        <v>2920720000</v>
      </c>
      <c r="K8" s="21">
        <f>+'RESUMEN FACT'!J8*88%</f>
        <v>3383474285.7142859</v>
      </c>
      <c r="L8" s="21">
        <f>+'RESUMEN FACT'!K8*88%</f>
        <v>3383474285.7142859</v>
      </c>
      <c r="M8" s="21">
        <f>+'RESUMEN FACT'!L8*88%</f>
        <v>3383474285.7142859</v>
      </c>
      <c r="N8" s="21">
        <f>+'RESUMEN FACT'!M8*88%</f>
        <v>3383474285.7142859</v>
      </c>
      <c r="O8" s="37">
        <f t="shared" si="1"/>
        <v>37306841179.017143</v>
      </c>
      <c r="P8" s="9">
        <f t="shared" si="2"/>
        <v>3391531016.2742858</v>
      </c>
      <c r="Q8" s="28">
        <f t="shared" si="0"/>
        <v>0.10034790742911022</v>
      </c>
      <c r="R8" s="24"/>
      <c r="S8" s="125">
        <f>+O8/'RESUMEN FACT'!O8</f>
        <v>0.8068263876201871</v>
      </c>
      <c r="T8" s="26" t="s">
        <v>374</v>
      </c>
      <c r="U8" s="26"/>
    </row>
    <row r="9" spans="1:21" x14ac:dyDescent="0.25">
      <c r="A9" s="8" t="s">
        <v>23</v>
      </c>
      <c r="B9" s="20" t="s">
        <v>58</v>
      </c>
      <c r="C9" s="21"/>
      <c r="D9" s="21">
        <f>+'RESUMEN FACT'!C9*88%</f>
        <v>1678449786.6400001</v>
      </c>
      <c r="E9" s="21">
        <f>+'RESUMEN FACT'!D9*88%</f>
        <v>902583974.15999997</v>
      </c>
      <c r="F9" s="21">
        <f>+'RESUMEN FACT'!E9*88%</f>
        <v>1160465108.8800001</v>
      </c>
      <c r="G9" s="21">
        <f>+'RESUMEN FACT'!F9*88%</f>
        <v>1160465108.8800001</v>
      </c>
      <c r="H9" s="21">
        <f>+'RESUMEN FACT'!G9*88%</f>
        <v>1160465108.8800001</v>
      </c>
      <c r="I9" s="21">
        <f>+'RESUMEN FACT'!H9*88%</f>
        <v>1309048403.8133304</v>
      </c>
      <c r="J9" s="21">
        <f>+'RESUMEN FACT'!I9*88%</f>
        <v>1309048403.8133304</v>
      </c>
      <c r="K9" s="21">
        <f>+'RESUMEN FACT'!J9*88%</f>
        <v>1309048403.8133304</v>
      </c>
      <c r="L9" s="21">
        <f>+'RESUMEN FACT'!K9*88%</f>
        <v>1309048403.8133304</v>
      </c>
      <c r="M9" s="21">
        <f>+'RESUMEN FACT'!L9*88%</f>
        <v>1309048403.8133304</v>
      </c>
      <c r="N9" s="21">
        <f>+'RESUMEN FACT'!M9*88%</f>
        <v>1309048403.8133304</v>
      </c>
      <c r="O9" s="39">
        <f t="shared" si="1"/>
        <v>13916719510.319981</v>
      </c>
      <c r="P9" s="10">
        <f t="shared" si="2"/>
        <v>1265156319.1199982</v>
      </c>
      <c r="Q9" s="11">
        <f t="shared" si="0"/>
        <v>3.7433179465323818E-2</v>
      </c>
      <c r="R9" s="14"/>
      <c r="S9" s="125">
        <f>+O9/'RESUMEN FACT'!O9</f>
        <v>0.80434124821471742</v>
      </c>
    </row>
    <row r="10" spans="1:21" x14ac:dyDescent="0.25">
      <c r="A10" s="8" t="s">
        <v>25</v>
      </c>
      <c r="B10" s="15" t="s">
        <v>26</v>
      </c>
      <c r="C10" s="21"/>
      <c r="D10" s="21">
        <f>+'RESUMEN FACT'!C10*20%</f>
        <v>538754743.07799995</v>
      </c>
      <c r="E10" s="21">
        <f>+'RESUMEN FACT'!D10*45%</f>
        <v>1332253667.7</v>
      </c>
      <c r="F10" s="21">
        <f>+'RESUMEN FACT'!E10*50%</f>
        <v>1625065047</v>
      </c>
      <c r="G10" s="21">
        <f>+'RESUMEN FACT'!F10*50%</f>
        <v>1536675301.825</v>
      </c>
      <c r="H10" s="21">
        <f>+'RESUMEN FACT'!G10*55%</f>
        <v>2423339857.4000001</v>
      </c>
      <c r="I10" s="21">
        <f>+'RESUMEN FACT'!H10*60%</f>
        <v>2552097819</v>
      </c>
      <c r="J10" s="21">
        <f>+'RESUMEN FACT'!I10*65%</f>
        <v>2471520729.5999999</v>
      </c>
      <c r="K10" s="21">
        <f>+'RESUMEN FACT'!J10*80%</f>
        <v>3238348112</v>
      </c>
      <c r="L10" s="21">
        <f>+'RESUMEN FACT'!K10*80%</f>
        <v>2494405628</v>
      </c>
      <c r="M10" s="21">
        <f>+'RESUMEN FACT'!L10*85%</f>
        <v>3654442732.3499999</v>
      </c>
      <c r="N10" s="21">
        <f>+'RESUMEN FACT'!M10*85%</f>
        <v>2814669746.1999998</v>
      </c>
      <c r="O10" s="10">
        <f>SUM(C10:N10)</f>
        <v>24681573384.153</v>
      </c>
      <c r="P10" s="10">
        <f t="shared" si="2"/>
        <v>2243779398.5593638</v>
      </c>
      <c r="Q10" s="11">
        <f t="shared" si="0"/>
        <v>6.6388473611933563E-2</v>
      </c>
      <c r="S10" s="125">
        <f>+O10/'RESUMEN FACT'!O10</f>
        <v>0.57609778168465142</v>
      </c>
    </row>
    <row r="11" spans="1:21" x14ac:dyDescent="0.25">
      <c r="A11" s="8" t="s">
        <v>25</v>
      </c>
      <c r="B11" s="15" t="s">
        <v>27</v>
      </c>
      <c r="C11" s="21"/>
      <c r="D11" s="21">
        <f>+'RESUMEN FACT'!C11*80%</f>
        <v>75553432</v>
      </c>
      <c r="E11" s="21">
        <f>+'RESUMEN FACT'!D11*80%</f>
        <v>45573576.719999999</v>
      </c>
      <c r="F11" s="21">
        <f>+'RESUMEN FACT'!E11*80%</f>
        <v>51465996.960000008</v>
      </c>
      <c r="G11" s="21">
        <f>+'RESUMEN FACT'!F11*80%</f>
        <v>46587173.640000001</v>
      </c>
      <c r="H11" s="21">
        <f>+'RESUMEN FACT'!G11*80%</f>
        <v>48544423.240000002</v>
      </c>
      <c r="I11" s="21">
        <f>+'RESUMEN FACT'!H11*80%</f>
        <v>56535631.320000008</v>
      </c>
      <c r="J11" s="21">
        <f>+'RESUMEN FACT'!I11*80%</f>
        <v>43333036.400000006</v>
      </c>
      <c r="K11" s="21">
        <f>+'RESUMEN FACT'!J11*80%</f>
        <v>129153467.52000001</v>
      </c>
      <c r="L11" s="21">
        <f>+'RESUMEN FACT'!K11*80%</f>
        <v>55427213.200000003</v>
      </c>
      <c r="M11" s="21">
        <f>+'RESUMEN FACT'!L11*80%</f>
        <v>56187099.400000006</v>
      </c>
      <c r="N11" s="21">
        <f>+'RESUMEN FACT'!M11*80%</f>
        <v>82527028.079999998</v>
      </c>
      <c r="O11" s="10">
        <f>SUM(C11:N11)</f>
        <v>690888078.48000002</v>
      </c>
      <c r="P11" s="10">
        <f t="shared" si="2"/>
        <v>62808007.134545453</v>
      </c>
      <c r="Q11" s="11">
        <f t="shared" si="0"/>
        <v>1.8583501243246607E-3</v>
      </c>
      <c r="S11" s="125">
        <f>+O11/'RESUMEN FACT'!O11</f>
        <v>0.7132777986056803</v>
      </c>
    </row>
    <row r="12" spans="1:21" x14ac:dyDescent="0.25">
      <c r="A12" s="8" t="s">
        <v>25</v>
      </c>
      <c r="B12" s="15" t="s">
        <v>28</v>
      </c>
      <c r="C12" s="21"/>
      <c r="D12" s="21">
        <f>+'RESUMEN FACT'!C12*100%</f>
        <v>112436331</v>
      </c>
      <c r="E12" s="21">
        <f>+'RESUMEN FACT'!D12*100%</f>
        <v>126448654.5</v>
      </c>
      <c r="F12" s="21">
        <f>+'RESUMEN FACT'!E12*100%</f>
        <v>112175912.09999999</v>
      </c>
      <c r="G12" s="21">
        <f>+'RESUMEN FACT'!F12*100%</f>
        <v>109466708.40000001</v>
      </c>
      <c r="H12" s="21">
        <f>+'RESUMEN FACT'!G12*100%</f>
        <v>93960625.5</v>
      </c>
      <c r="I12" s="21">
        <f>+'RESUMEN FACT'!H12*100%</f>
        <v>105500760.75</v>
      </c>
      <c r="J12" s="21">
        <f>+'RESUMEN FACT'!I12*100%</f>
        <v>126814522.8</v>
      </c>
      <c r="K12" s="21">
        <f>+'RESUMEN FACT'!J12*100%</f>
        <v>122191648.95</v>
      </c>
      <c r="L12" s="21">
        <f>+'RESUMEN FACT'!K12*100%</f>
        <v>119327503.05</v>
      </c>
      <c r="M12" s="21">
        <f>+'RESUMEN FACT'!L12*100%</f>
        <v>88288547.549999997</v>
      </c>
      <c r="N12" s="21">
        <f>+'RESUMEN FACT'!M12*100%</f>
        <v>83236927.200000003</v>
      </c>
      <c r="O12" s="10">
        <f t="shared" si="1"/>
        <v>1199848141.8</v>
      </c>
      <c r="P12" s="10">
        <f t="shared" si="2"/>
        <v>109077103.8</v>
      </c>
      <c r="Q12" s="11"/>
      <c r="S12" s="125">
        <f>+O12/'RESUMEN FACT'!O12</f>
        <v>0.927881715067708</v>
      </c>
    </row>
    <row r="13" spans="1:21" x14ac:dyDescent="0.25">
      <c r="A13" s="8" t="s">
        <v>29</v>
      </c>
      <c r="B13" s="15" t="s">
        <v>30</v>
      </c>
      <c r="C13" s="21"/>
      <c r="D13" s="21">
        <f>+'RESUMEN FACT'!C13*95%</f>
        <v>202744237.4258</v>
      </c>
      <c r="E13" s="21">
        <f>+'RESUMEN FACT'!D13*95%</f>
        <v>227087217.86879998</v>
      </c>
      <c r="F13" s="21">
        <f>+'RESUMEN FACT'!E13*95%</f>
        <v>216049796.2976</v>
      </c>
      <c r="G13" s="21">
        <f>+'RESUMEN FACT'!F13*95%</f>
        <v>220021141.06019998</v>
      </c>
      <c r="H13" s="21">
        <f>+'RESUMEN FACT'!G13*95%</f>
        <v>222049346.40639997</v>
      </c>
      <c r="I13" s="21">
        <f>+'RESUMEN FACT'!H13*95%</f>
        <v>218011417.6182</v>
      </c>
      <c r="J13" s="21">
        <f>+'RESUMEN FACT'!I13*95%</f>
        <v>135893872.72519997</v>
      </c>
      <c r="K13" s="21">
        <f>+'RESUMEN FACT'!J13*95%</f>
        <v>217114627.0156</v>
      </c>
      <c r="L13" s="21">
        <f>+'RESUMEN FACT'!K13*95%</f>
        <v>317441931.49340004</v>
      </c>
      <c r="M13" s="21">
        <f>+'RESUMEN FACT'!L13*95%</f>
        <v>218277534.852</v>
      </c>
      <c r="N13" s="21">
        <f>+'RESUMEN FACT'!M13*95%</f>
        <v>228201123.12439999</v>
      </c>
      <c r="O13" s="10">
        <f t="shared" si="1"/>
        <v>2422892245.8875999</v>
      </c>
      <c r="P13" s="10">
        <f t="shared" si="2"/>
        <v>220262931.44432727</v>
      </c>
      <c r="Q13" s="11">
        <f>+O13/$O$30</f>
        <v>6.5170933565338969E-3</v>
      </c>
      <c r="S13" s="125">
        <f>+O13/'RESUMEN FACT'!O13</f>
        <v>0.85724482132638957</v>
      </c>
      <c r="T13" s="2" t="s">
        <v>375</v>
      </c>
    </row>
    <row r="14" spans="1:21" x14ac:dyDescent="0.25">
      <c r="A14" s="8" t="s">
        <v>31</v>
      </c>
      <c r="B14" s="15" t="s">
        <v>32</v>
      </c>
      <c r="C14" s="21"/>
      <c r="D14" s="21">
        <f>+'RESUMEN FACT'!C14*20%</f>
        <v>926413044.41200018</v>
      </c>
      <c r="E14" s="21">
        <f>+'RESUMEN FACT'!D14*45%</f>
        <v>2447853738.6869998</v>
      </c>
      <c r="F14" s="21">
        <f>+'RESUMEN FACT'!E14*50%</f>
        <v>2894738341.6799998</v>
      </c>
      <c r="G14" s="21">
        <f>+'RESUMEN FACT'!F14*50%</f>
        <v>2524949749.96</v>
      </c>
      <c r="H14" s="21">
        <f>+'RESUMEN FACT'!G14*55%</f>
        <v>3443401652.3940001</v>
      </c>
      <c r="I14" s="21">
        <f>+'RESUMEN FACT'!H14*60%</f>
        <v>3519368553.7800002</v>
      </c>
      <c r="J14" s="21">
        <f>+'RESUMEN FACT'!I14*65%</f>
        <v>4207882156.6470003</v>
      </c>
      <c r="K14" s="21">
        <f>+'RESUMEN FACT'!J14*80%</f>
        <v>5083324344.4096012</v>
      </c>
      <c r="L14" s="21">
        <f>+'RESUMEN FACT'!K14*80%</f>
        <v>5134008107.7120008</v>
      </c>
      <c r="M14" s="21">
        <f>+'RESUMEN FACT'!L14*85%</f>
        <v>5494039379.6629992</v>
      </c>
      <c r="N14" s="21">
        <f>+'RESUMEN FACT'!M14*85%</f>
        <v>5194142419.8509998</v>
      </c>
      <c r="O14" s="10">
        <f t="shared" si="1"/>
        <v>40870121489.195602</v>
      </c>
      <c r="P14" s="10">
        <f t="shared" si="2"/>
        <v>3715465589.9268727</v>
      </c>
      <c r="Q14" s="11">
        <f>+O14/$O$30</f>
        <v>0.10993241556245681</v>
      </c>
      <c r="R14" s="12"/>
      <c r="S14" s="125">
        <f>+O14/'RESUMEN FACT'!O14</f>
        <v>0.5755751284469226</v>
      </c>
    </row>
    <row r="15" spans="1:21" x14ac:dyDescent="0.25">
      <c r="A15" s="8" t="s">
        <v>31</v>
      </c>
      <c r="B15" s="15" t="s">
        <v>33</v>
      </c>
      <c r="C15" s="21"/>
      <c r="D15" s="21">
        <f>+'RESUMEN FACT'!C15*50%</f>
        <v>1167498502.5</v>
      </c>
      <c r="E15" s="21">
        <f>+'RESUMEN FACT'!D15*50%</f>
        <v>1320823744.8</v>
      </c>
      <c r="F15" s="21">
        <f>+'RESUMEN FACT'!E15*50%</f>
        <v>1138616739.75</v>
      </c>
      <c r="G15" s="21">
        <f>+'RESUMEN FACT'!F15*60%</f>
        <v>1383264007.0199997</v>
      </c>
      <c r="H15" s="21">
        <f>+'RESUMEN FACT'!G15*70%</f>
        <v>2036144716.1999998</v>
      </c>
      <c r="I15" s="21">
        <f>+'RESUMEN FACT'!H15*75%</f>
        <v>1687172189.8500001</v>
      </c>
      <c r="J15" s="21">
        <f>+'RESUMEN FACT'!I15*80%</f>
        <v>2277560506.2000003</v>
      </c>
      <c r="K15" s="21">
        <f>+'RESUMEN FACT'!J15*85%</f>
        <v>1912128481.8300002</v>
      </c>
      <c r="L15" s="21">
        <f>+'RESUMEN FACT'!K15*85%</f>
        <v>1527917512.5374999</v>
      </c>
      <c r="M15" s="21">
        <f>+'RESUMEN FACT'!L15*90%</f>
        <v>1224487539.45</v>
      </c>
      <c r="N15" s="21">
        <f>+'RESUMEN FACT'!M15*90%</f>
        <v>1845713084.355</v>
      </c>
      <c r="O15" s="10">
        <f t="shared" si="1"/>
        <v>17521327024.4925</v>
      </c>
      <c r="P15" s="10">
        <f t="shared" si="2"/>
        <v>1592847911.3175001</v>
      </c>
      <c r="Q15" s="11">
        <f>+O15/$O$30</f>
        <v>4.7128849474338194E-2</v>
      </c>
      <c r="S15" s="125">
        <f>+O15/'RESUMEN FACT'!O15</f>
        <v>0.64016402155948637</v>
      </c>
    </row>
    <row r="16" spans="1:21" x14ac:dyDescent="0.25">
      <c r="A16" s="8" t="s">
        <v>31</v>
      </c>
      <c r="B16" s="15" t="s">
        <v>34</v>
      </c>
      <c r="C16" s="21"/>
      <c r="D16" s="21">
        <f>+'RESUMEN FACT'!C16*100%</f>
        <v>1832480314.3499999</v>
      </c>
      <c r="E16" s="21">
        <f>+'RESUMEN FACT'!D16*100%</f>
        <v>1886565584.4000001</v>
      </c>
      <c r="F16" s="21">
        <f>+'RESUMEN FACT'!E16*100%</f>
        <v>1815874372.2</v>
      </c>
      <c r="G16" s="21">
        <f>+'RESUMEN FACT'!F16*100%</f>
        <v>1655476673.55</v>
      </c>
      <c r="H16" s="21">
        <f>+'RESUMEN FACT'!G16*100%</f>
        <v>1513381853.55</v>
      </c>
      <c r="I16" s="21">
        <f>+'RESUMEN FACT'!H16*100%</f>
        <v>1658830993.05</v>
      </c>
      <c r="J16" s="21">
        <f>+'RESUMEN FACT'!I16*100%</f>
        <v>1773380041.6500001</v>
      </c>
      <c r="K16" s="21">
        <f>+'RESUMEN FACT'!J16*100%</f>
        <v>1499354767.05</v>
      </c>
      <c r="L16" s="21">
        <f>+'RESUMEN FACT'!K16*100%</f>
        <v>1519598607.45</v>
      </c>
      <c r="M16" s="21">
        <f>+'RESUMEN FACT'!L16*100%</f>
        <v>1435795621.05</v>
      </c>
      <c r="N16" s="21">
        <f>+'RESUMEN FACT'!M16*100%</f>
        <v>1456061996.55</v>
      </c>
      <c r="O16" s="10">
        <f t="shared" si="1"/>
        <v>18046800824.849998</v>
      </c>
      <c r="P16" s="10">
        <f t="shared" si="2"/>
        <v>1640618256.8045454</v>
      </c>
      <c r="Q16" s="11"/>
      <c r="S16" s="125">
        <f>+O16/'RESUMEN FACT'!O16</f>
        <v>0.93378325276726704</v>
      </c>
    </row>
    <row r="17" spans="1:19" x14ac:dyDescent="0.25">
      <c r="A17" s="8" t="s">
        <v>35</v>
      </c>
      <c r="B17" s="15" t="s">
        <v>60</v>
      </c>
      <c r="C17" s="21"/>
      <c r="D17" s="21">
        <f>+'RESUMEN FACT'!C17*100%</f>
        <v>16646741456.188799</v>
      </c>
      <c r="E17" s="21">
        <f>+'RESUMEN FACT'!D17*100%</f>
        <v>17279397121.919998</v>
      </c>
      <c r="F17" s="21">
        <f>+'RESUMEN FACT'!E17*100%</f>
        <v>17279397121.919998</v>
      </c>
      <c r="G17" s="21">
        <f>+'RESUMEN FACT'!F17*100%</f>
        <v>17279397121.919998</v>
      </c>
      <c r="H17" s="21">
        <f>+'RESUMEN FACT'!G17*100%</f>
        <v>17279397121.919998</v>
      </c>
      <c r="I17" s="21">
        <f>+'RESUMEN FACT'!H17*100%</f>
        <v>17279397121.919998</v>
      </c>
      <c r="J17" s="21">
        <f>+'RESUMEN FACT'!I17*100%</f>
        <v>17279397121.919998</v>
      </c>
      <c r="K17" s="21">
        <f>+'RESUMEN FACT'!J17*100%</f>
        <v>17279397121.919998</v>
      </c>
      <c r="L17" s="21">
        <f>+'RESUMEN FACT'!K17*100%</f>
        <v>17279397121.919998</v>
      </c>
      <c r="M17" s="21">
        <f>+'RESUMEN FACT'!L17*100%</f>
        <v>17279397121.919998</v>
      </c>
      <c r="N17" s="21">
        <f>+'RESUMEN FACT'!M17*100%</f>
        <v>17279397121.919998</v>
      </c>
      <c r="O17" s="10">
        <f t="shared" si="1"/>
        <v>189440712675.38873</v>
      </c>
      <c r="P17" s="10">
        <f t="shared" si="2"/>
        <v>17221882970.489883</v>
      </c>
      <c r="Q17" s="11">
        <f t="shared" ref="Q17:Q29" si="3">+O17/$O$30</f>
        <v>0.50955745643634254</v>
      </c>
      <c r="S17" s="125">
        <f>+O17/'RESUMEN FACT'!O17</f>
        <v>0.91641162952717747</v>
      </c>
    </row>
    <row r="18" spans="1:19" x14ac:dyDescent="0.25">
      <c r="A18" s="8" t="s">
        <v>57</v>
      </c>
      <c r="B18" s="15" t="s">
        <v>59</v>
      </c>
      <c r="C18" s="21"/>
      <c r="D18" s="21">
        <f>+'RESUMEN FACT'!C18*100%</f>
        <v>693614227.34119999</v>
      </c>
      <c r="E18" s="21">
        <f>+'RESUMEN FACT'!D18*100%</f>
        <v>719974880.08000004</v>
      </c>
      <c r="F18" s="21">
        <f>+'RESUMEN FACT'!E18*100%</f>
        <v>719974880.08000004</v>
      </c>
      <c r="G18" s="21">
        <f>+'RESUMEN FACT'!F18*100%</f>
        <v>719974880.08000004</v>
      </c>
      <c r="H18" s="21">
        <f>+'RESUMEN FACT'!G18*100%</f>
        <v>719974880.08000004</v>
      </c>
      <c r="I18" s="21">
        <f>+'RESUMEN FACT'!H18*100%</f>
        <v>719974880.08000004</v>
      </c>
      <c r="J18" s="21">
        <f>+'RESUMEN FACT'!I18*100%</f>
        <v>719974880.08000004</v>
      </c>
      <c r="K18" s="21">
        <f>+'RESUMEN FACT'!J18*100%</f>
        <v>719974880.08000004</v>
      </c>
      <c r="L18" s="21">
        <f>+'RESUMEN FACT'!K18*100%</f>
        <v>719974880.08000004</v>
      </c>
      <c r="M18" s="21">
        <f>+'RESUMEN FACT'!L18*100%</f>
        <v>719974880.08000004</v>
      </c>
      <c r="N18" s="21">
        <f>+'RESUMEN FACT'!M18*100%</f>
        <v>719974880.08000004</v>
      </c>
      <c r="O18" s="10">
        <f t="shared" si="1"/>
        <v>7893363028.1412001</v>
      </c>
      <c r="P18" s="10">
        <f t="shared" si="2"/>
        <v>717578457.10374546</v>
      </c>
      <c r="Q18" s="11">
        <f t="shared" si="3"/>
        <v>2.1231560684847613E-2</v>
      </c>
      <c r="S18" s="125">
        <f>+O18/'RESUMEN FACT'!O18</f>
        <v>0.91641162952717736</v>
      </c>
    </row>
    <row r="19" spans="1:19" x14ac:dyDescent="0.25">
      <c r="A19" s="8" t="s">
        <v>36</v>
      </c>
      <c r="B19" s="15" t="s">
        <v>37</v>
      </c>
      <c r="C19" s="21"/>
      <c r="D19" s="21">
        <f>+'RESUMEN FACT'!C19*20%</f>
        <v>40698385.684600003</v>
      </c>
      <c r="E19" s="21">
        <f>+'RESUMEN FACT'!D19*25%</f>
        <v>62400218.620700002</v>
      </c>
      <c r="F19" s="21">
        <f>+'RESUMEN FACT'!E19*30%</f>
        <v>82249870.626929998</v>
      </c>
      <c r="G19" s="21">
        <f>+'RESUMEN FACT'!F19*40%</f>
        <v>78069936.056920007</v>
      </c>
      <c r="H19" s="21">
        <f>+'RESUMEN FACT'!G19*45%</f>
        <v>114302370.57628499</v>
      </c>
      <c r="I19" s="21">
        <f>+'RESUMEN FACT'!H19*50%</f>
        <v>160665541.99695</v>
      </c>
      <c r="J19" s="21">
        <f>+'RESUMEN FACT'!I19*55%</f>
        <v>289386048.64356005</v>
      </c>
      <c r="K19" s="21">
        <f>+'RESUMEN FACT'!J19*60%</f>
        <v>194458886.98950002</v>
      </c>
      <c r="L19" s="21">
        <f>+'RESUMEN FACT'!K19*70%</f>
        <v>250235659.40575999</v>
      </c>
      <c r="M19" s="21">
        <f>+'RESUMEN FACT'!L19*80%</f>
        <v>316049962.24984002</v>
      </c>
      <c r="N19" s="21">
        <f>+'RESUMEN FACT'!M19*80%</f>
        <v>159211719.3712</v>
      </c>
      <c r="O19" s="10">
        <f t="shared" si="1"/>
        <v>1747728600.2222452</v>
      </c>
      <c r="P19" s="10">
        <f t="shared" si="2"/>
        <v>158884418.20202228</v>
      </c>
      <c r="Q19" s="11">
        <f t="shared" si="3"/>
        <v>4.701038797274305E-3</v>
      </c>
      <c r="R19" s="12"/>
      <c r="S19" s="125">
        <f>+O19/'RESUMEN FACT'!O19</f>
        <v>0.4896512636603495</v>
      </c>
    </row>
    <row r="20" spans="1:19" x14ac:dyDescent="0.25">
      <c r="A20" s="8" t="s">
        <v>38</v>
      </c>
      <c r="B20" s="15" t="s">
        <v>39</v>
      </c>
      <c r="C20" s="21"/>
      <c r="D20" s="21">
        <f>+'RESUMEN FACT'!C20*5%</f>
        <v>11375577.613925001</v>
      </c>
      <c r="E20" s="21">
        <f>+'RESUMEN FACT'!D20*5%</f>
        <v>6784503.6191800004</v>
      </c>
      <c r="F20" s="21">
        <f>+'RESUMEN FACT'!E20*5%</f>
        <v>12625886.312185001</v>
      </c>
      <c r="G20" s="21">
        <f>+'RESUMEN FACT'!F20*5%</f>
        <v>14309075.880140001</v>
      </c>
      <c r="H20" s="21">
        <f>+'RESUMEN FACT'!G20*5%</f>
        <v>10159145.054415001</v>
      </c>
      <c r="I20" s="21">
        <f>+'RESUMEN FACT'!H20*5%</f>
        <v>16146945.347015001</v>
      </c>
      <c r="J20" s="21">
        <f>+'RESUMEN FACT'!I20*5%</f>
        <v>15056856.84457</v>
      </c>
      <c r="K20" s="21">
        <f>+'RESUMEN FACT'!J20*5%</f>
        <v>20420507.292635001</v>
      </c>
      <c r="L20" s="21">
        <f>+'RESUMEN FACT'!K20*5%</f>
        <v>20342863.867785003</v>
      </c>
      <c r="M20" s="21">
        <f>+'RESUMEN FACT'!L20*5%</f>
        <v>18169329.959210001</v>
      </c>
      <c r="N20" s="21">
        <f>+'RESUMEN FACT'!M20*5%</f>
        <v>11283823.00508</v>
      </c>
      <c r="O20" s="10">
        <f t="shared" si="1"/>
        <v>156674514.79614002</v>
      </c>
      <c r="P20" s="10">
        <f t="shared" si="2"/>
        <v>14243137.708740002</v>
      </c>
      <c r="Q20" s="11">
        <f t="shared" si="3"/>
        <v>4.214229672199231E-4</v>
      </c>
      <c r="S20" s="125">
        <f>+O20/'RESUMEN FACT'!O20</f>
        <v>4.2396368125878145E-2</v>
      </c>
    </row>
    <row r="21" spans="1:19" x14ac:dyDescent="0.25">
      <c r="A21" s="8" t="s">
        <v>40</v>
      </c>
      <c r="B21" s="20" t="s">
        <v>41</v>
      </c>
      <c r="C21" s="21"/>
      <c r="D21" s="21">
        <f>+'RESUMEN FACT'!C21*80%</f>
        <v>0</v>
      </c>
      <c r="E21" s="21">
        <f>+'RESUMEN FACT'!D21*80%</f>
        <v>0</v>
      </c>
      <c r="F21" s="21">
        <f>+'RESUMEN FACT'!E21*80%</f>
        <v>0</v>
      </c>
      <c r="G21" s="21">
        <f>+'RESUMEN FACT'!F21*80%</f>
        <v>0</v>
      </c>
      <c r="H21" s="21">
        <f>+'RESUMEN FACT'!G21*80%</f>
        <v>0</v>
      </c>
      <c r="I21" s="21">
        <f>+'RESUMEN FACT'!H21*80%</f>
        <v>0</v>
      </c>
      <c r="J21" s="21">
        <f>+'RESUMEN FACT'!I21*80%</f>
        <v>0</v>
      </c>
      <c r="K21" s="21">
        <f>+'RESUMEN FACT'!J21*80%</f>
        <v>0</v>
      </c>
      <c r="L21" s="21">
        <f>+'RESUMEN FACT'!K21*80%</f>
        <v>0</v>
      </c>
      <c r="M21" s="21">
        <f>+'RESUMEN FACT'!L21*80%</f>
        <v>0</v>
      </c>
      <c r="N21" s="21">
        <f>+'RESUMEN FACT'!M21*80%</f>
        <v>0</v>
      </c>
      <c r="O21" s="10">
        <f t="shared" si="1"/>
        <v>0</v>
      </c>
      <c r="P21" s="10">
        <f t="shared" si="2"/>
        <v>0</v>
      </c>
      <c r="Q21" s="11">
        <f t="shared" si="3"/>
        <v>0</v>
      </c>
      <c r="R21" s="12"/>
      <c r="S21" s="125">
        <v>0</v>
      </c>
    </row>
    <row r="22" spans="1:19" x14ac:dyDescent="0.25">
      <c r="A22" s="8" t="s">
        <v>42</v>
      </c>
      <c r="B22" s="20" t="s">
        <v>43</v>
      </c>
      <c r="C22" s="21"/>
      <c r="D22" s="21">
        <f>+'RESUMEN FACT'!C22*80%</f>
        <v>124459662.27240002</v>
      </c>
      <c r="E22" s="21">
        <f>+'RESUMEN FACT'!D22*80%</f>
        <v>151516536.35999998</v>
      </c>
      <c r="F22" s="21">
        <f>+'RESUMEN FACT'!E22*80%</f>
        <v>152804317.68000001</v>
      </c>
      <c r="G22" s="21">
        <f>+'RESUMEN FACT'!F22*80%</f>
        <v>155574115.49400002</v>
      </c>
      <c r="H22" s="21">
        <f>+'RESUMEN FACT'!G22*80%</f>
        <v>159403188</v>
      </c>
      <c r="I22" s="21">
        <f>+'RESUMEN FACT'!H22*80%</f>
        <v>154689601.92000002</v>
      </c>
      <c r="J22" s="21">
        <f>+'RESUMEN FACT'!I22*80%</f>
        <v>165000282.72000003</v>
      </c>
      <c r="K22" s="21">
        <f>+'RESUMEN FACT'!J22*80%</f>
        <v>146888520.91200003</v>
      </c>
      <c r="L22" s="21">
        <f>+'RESUMEN FACT'!K22*80%</f>
        <v>160532988</v>
      </c>
      <c r="M22" s="21">
        <f>+'RESUMEN FACT'!L22*80%</f>
        <v>156073686.72</v>
      </c>
      <c r="N22" s="21">
        <f>+'RESUMEN FACT'!M22*80%</f>
        <v>144824282.40000001</v>
      </c>
      <c r="O22" s="10">
        <f>SUM(C22:N22)</f>
        <v>1671767182.4784002</v>
      </c>
      <c r="P22" s="10">
        <f t="shared" si="2"/>
        <v>151978834.77076367</v>
      </c>
      <c r="Q22" s="11">
        <f t="shared" si="3"/>
        <v>4.4967178450026728E-3</v>
      </c>
      <c r="S22" s="125">
        <f>+O22/'RESUMEN FACT'!O22</f>
        <v>0.7323022288444675</v>
      </c>
    </row>
    <row r="23" spans="1:19" x14ac:dyDescent="0.25">
      <c r="A23" s="8" t="s">
        <v>44</v>
      </c>
      <c r="B23" s="15" t="s">
        <v>45</v>
      </c>
      <c r="C23" s="21"/>
      <c r="D23" s="21">
        <f>+'RESUMEN FACT'!C23*85%</f>
        <v>4317707.0474999994</v>
      </c>
      <c r="E23" s="21">
        <f>+'RESUMEN FACT'!D23*85%</f>
        <v>7520433.4800000004</v>
      </c>
      <c r="F23" s="21">
        <f>+'RESUMEN FACT'!E23*85%</f>
        <v>7204072.5750000002</v>
      </c>
      <c r="G23" s="21">
        <f>+'RESUMEN FACT'!F23*85%</f>
        <v>5586322.6124999998</v>
      </c>
      <c r="H23" s="21">
        <f>+'RESUMEN FACT'!G23*85%</f>
        <v>517805.29499999993</v>
      </c>
      <c r="I23" s="21">
        <f>+'RESUMEN FACT'!H23*85%</f>
        <v>3540800.0774999997</v>
      </c>
      <c r="J23" s="21">
        <f>+'RESUMEN FACT'!I23*85%</f>
        <v>33690153.3675</v>
      </c>
      <c r="K23" s="21">
        <f>+'RESUMEN FACT'!J23*85%</f>
        <v>7706974.0125000002</v>
      </c>
      <c r="L23" s="21">
        <f>+'RESUMEN FACT'!K23*85%</f>
        <v>249096.75</v>
      </c>
      <c r="M23" s="21">
        <f>+'RESUMEN FACT'!L23*85%</f>
        <v>10119778.147499999</v>
      </c>
      <c r="N23" s="21">
        <f>+'RESUMEN FACT'!M23*85%</f>
        <v>187601.715</v>
      </c>
      <c r="O23" s="10">
        <f t="shared" si="1"/>
        <v>80640745.079999998</v>
      </c>
      <c r="P23" s="10">
        <f t="shared" si="2"/>
        <v>7330976.8254545452</v>
      </c>
      <c r="Q23" s="11">
        <f t="shared" si="3"/>
        <v>2.1690740267910039E-4</v>
      </c>
      <c r="S23" s="125">
        <f>+O23/'RESUMEN FACT'!O23</f>
        <v>0.77984592925353868</v>
      </c>
    </row>
    <row r="24" spans="1:19" x14ac:dyDescent="0.25">
      <c r="A24" s="8" t="s">
        <v>46</v>
      </c>
      <c r="B24" s="20" t="s">
        <v>47</v>
      </c>
      <c r="C24" s="21"/>
      <c r="D24" s="21">
        <f>+'RESUMEN FACT'!C24*5%</f>
        <v>4337954.25</v>
      </c>
      <c r="E24" s="21">
        <f>+'RESUMEN FACT'!D24*5%</f>
        <v>2896653.9000000004</v>
      </c>
      <c r="F24" s="21">
        <f>+'RESUMEN FACT'!E24*5%</f>
        <v>2802098.3025000002</v>
      </c>
      <c r="G24" s="21">
        <f>+'RESUMEN FACT'!F24*5%</f>
        <v>2121953.2949999999</v>
      </c>
      <c r="H24" s="21">
        <f>+'RESUMEN FACT'!G24*5%</f>
        <v>4263220.8150000004</v>
      </c>
      <c r="I24" s="21">
        <f>+'RESUMEN FACT'!H24*5%</f>
        <v>3120415.4625000004</v>
      </c>
      <c r="J24" s="21">
        <f>+'RESUMEN FACT'!I24*5%</f>
        <v>3843824.25</v>
      </c>
      <c r="K24" s="21">
        <f>+'RESUMEN FACT'!J24*5%</f>
        <v>4582677.75</v>
      </c>
      <c r="L24" s="21">
        <f>+'RESUMEN FACT'!K24*5%</f>
        <v>2605708.6125000003</v>
      </c>
      <c r="M24" s="21">
        <f>+'RESUMEN FACT'!L24*5%</f>
        <v>2550119.7750000004</v>
      </c>
      <c r="N24" s="21">
        <f>+'RESUMEN FACT'!M24*5%</f>
        <v>2938678.68</v>
      </c>
      <c r="O24" s="10">
        <f t="shared" si="1"/>
        <v>36063305.092500001</v>
      </c>
      <c r="P24" s="10">
        <f t="shared" si="2"/>
        <v>3278482.2811363637</v>
      </c>
      <c r="Q24" s="11">
        <f t="shared" si="3"/>
        <v>9.7003045196047052E-5</v>
      </c>
      <c r="R24" s="12"/>
      <c r="S24" s="125">
        <f>+O24/'RESUMEN FACT'!O24</f>
        <v>4.4264003872106154E-2</v>
      </c>
    </row>
    <row r="25" spans="1:19" x14ac:dyDescent="0.25">
      <c r="A25" s="8" t="s">
        <v>48</v>
      </c>
      <c r="B25" s="15" t="s">
        <v>49</v>
      </c>
      <c r="C25" s="21"/>
      <c r="D25" s="21">
        <f>+'RESUMEN FACT'!C25*10%</f>
        <v>250000</v>
      </c>
      <c r="E25" s="21">
        <f>+'RESUMEN FACT'!D25*15%</f>
        <v>375000</v>
      </c>
      <c r="F25" s="21">
        <f>+'RESUMEN FACT'!E25*10%</f>
        <v>250000</v>
      </c>
      <c r="G25" s="21">
        <f>+'RESUMEN FACT'!F25*10%</f>
        <v>250000</v>
      </c>
      <c r="H25" s="21">
        <f>+'RESUMEN FACT'!G25*50%</f>
        <v>1250000</v>
      </c>
      <c r="I25" s="21">
        <f>+'RESUMEN FACT'!H25*10%</f>
        <v>250000</v>
      </c>
      <c r="J25" s="21">
        <f>+'RESUMEN FACT'!I25*10%</f>
        <v>250000</v>
      </c>
      <c r="K25" s="21">
        <f>+'RESUMEN FACT'!J25*60%</f>
        <v>1500000</v>
      </c>
      <c r="L25" s="21">
        <f>+'RESUMEN FACT'!K25*10%</f>
        <v>250000</v>
      </c>
      <c r="M25" s="21">
        <f>+'RESUMEN FACT'!L25*10%</f>
        <v>250000</v>
      </c>
      <c r="N25" s="21">
        <f>+'RESUMEN FACT'!M25*100%</f>
        <v>2500000</v>
      </c>
      <c r="O25" s="10">
        <f t="shared" si="1"/>
        <v>7375000</v>
      </c>
      <c r="P25" s="10">
        <f t="shared" si="2"/>
        <v>670454.54545454541</v>
      </c>
      <c r="Q25" s="11">
        <f t="shared" si="3"/>
        <v>1.9837268283810918E-5</v>
      </c>
      <c r="S25" s="125">
        <f>+O25/'RESUMEN FACT'!O25</f>
        <v>0.24583333333333332</v>
      </c>
    </row>
    <row r="26" spans="1:19" x14ac:dyDescent="0.25">
      <c r="A26" s="8" t="s">
        <v>50</v>
      </c>
      <c r="B26" s="20" t="s">
        <v>51</v>
      </c>
      <c r="C26" s="21"/>
      <c r="D26" s="21">
        <f>+'RESUMEN FACT'!C26*20%</f>
        <v>9662569.9695000015</v>
      </c>
      <c r="E26" s="21">
        <f>+'RESUMEN FACT'!D26*25%</f>
        <v>3682150.171875</v>
      </c>
      <c r="F26" s="21">
        <f>+'RESUMEN FACT'!E26*30%</f>
        <v>4393212.6735000005</v>
      </c>
      <c r="G26" s="21">
        <f>+'RESUMEN FACT'!F26*40%</f>
        <v>7818249.9780000001</v>
      </c>
      <c r="H26" s="21">
        <f>+'RESUMEN FACT'!G26*45%</f>
        <v>35851116.223124996</v>
      </c>
      <c r="I26" s="21">
        <f>+'RESUMEN FACT'!H26*50%</f>
        <v>40099508.741250001</v>
      </c>
      <c r="J26" s="21">
        <f>+'RESUMEN FACT'!I26*55%</f>
        <v>62306342.839125007</v>
      </c>
      <c r="K26" s="21">
        <f>+'RESUMEN FACT'!J26*60%</f>
        <v>24642450.117495</v>
      </c>
      <c r="L26" s="21">
        <f>+'RESUMEN FACT'!K26*70%</f>
        <v>40038741.91799999</v>
      </c>
      <c r="M26" s="21">
        <f>+'RESUMEN FACT'!L26*80%</f>
        <v>31943322.558000006</v>
      </c>
      <c r="N26" s="21">
        <f>+'RESUMEN FACT'!M26*80%</f>
        <v>30653630.406000003</v>
      </c>
      <c r="O26" s="10">
        <f t="shared" si="1"/>
        <v>291091295.59587002</v>
      </c>
      <c r="P26" s="10">
        <f t="shared" si="2"/>
        <v>26462845.054170001</v>
      </c>
      <c r="Q26" s="11">
        <f t="shared" si="3"/>
        <v>7.8297710180574658E-4</v>
      </c>
      <c r="S26" s="125">
        <f>+O26/'RESUMEN FACT'!O26</f>
        <v>0.49629550623632795</v>
      </c>
    </row>
    <row r="27" spans="1:19" x14ac:dyDescent="0.25">
      <c r="A27" s="8" t="s">
        <v>50</v>
      </c>
      <c r="B27" s="15" t="s">
        <v>52</v>
      </c>
      <c r="C27" s="21"/>
      <c r="D27" s="21">
        <f>+'RESUMEN FACT'!C27*20%</f>
        <v>422718.66</v>
      </c>
      <c r="E27" s="21">
        <f>+'RESUMEN FACT'!D27*25%</f>
        <v>1702022.7</v>
      </c>
      <c r="F27" s="21">
        <f>+'RESUMEN FACT'!E27*30%</f>
        <v>1284857.9099999999</v>
      </c>
      <c r="G27" s="21">
        <f>+'RESUMEN FACT'!F27*40%</f>
        <v>1654751.7000000002</v>
      </c>
      <c r="H27" s="21">
        <f>+'RESUMEN FACT'!G27*45%</f>
        <v>4801881.42</v>
      </c>
      <c r="I27" s="21">
        <f>+'RESUMEN FACT'!H27*50%</f>
        <v>1523669.175</v>
      </c>
      <c r="J27" s="21">
        <f>+'RESUMEN FACT'!I27*55%</f>
        <v>257547.09750000003</v>
      </c>
      <c r="K27" s="21">
        <f>+'RESUMEN FACT'!J27*60%</f>
        <v>2973694.5</v>
      </c>
      <c r="L27" s="21">
        <f>+'RESUMEN FACT'!K27*70%</f>
        <v>1330193.4450000001</v>
      </c>
      <c r="M27" s="21">
        <f>+'RESUMEN FACT'!L27*80%</f>
        <v>7272436.9200000009</v>
      </c>
      <c r="N27" s="21">
        <f>+'RESUMEN FACT'!M27*80%</f>
        <v>3537014.04</v>
      </c>
      <c r="O27" s="10">
        <f t="shared" si="1"/>
        <v>26760787.567500003</v>
      </c>
      <c r="P27" s="10">
        <f t="shared" si="2"/>
        <v>2432798.8697727276</v>
      </c>
      <c r="Q27" s="11">
        <f t="shared" si="3"/>
        <v>7.1981142028822962E-5</v>
      </c>
      <c r="S27" s="125">
        <f>+O27/'RESUMEN FACT'!O27</f>
        <v>0.50033623470449984</v>
      </c>
    </row>
    <row r="28" spans="1:19" x14ac:dyDescent="0.25">
      <c r="A28" s="8" t="s">
        <v>50</v>
      </c>
      <c r="B28" s="15" t="s">
        <v>53</v>
      </c>
      <c r="C28" s="21"/>
      <c r="D28" s="21">
        <f>+'RESUMEN FACT'!C28*20%</f>
        <v>14311523.1735</v>
      </c>
      <c r="E28" s="21">
        <f>+'RESUMEN FACT'!D28*25%</f>
        <v>7649543.0024999995</v>
      </c>
      <c r="F28" s="21">
        <f>+'RESUMEN FACT'!E28*30%</f>
        <v>52998972.515999995</v>
      </c>
      <c r="G28" s="21">
        <f>+'RESUMEN FACT'!F28*40%</f>
        <v>64295103.726000004</v>
      </c>
      <c r="H28" s="21">
        <f>+'RESUMEN FACT'!G28*45%</f>
        <v>72331991.691750005</v>
      </c>
      <c r="I28" s="21">
        <f>+'RESUMEN FACT'!H28*50%</f>
        <v>79690197.746250004</v>
      </c>
      <c r="J28" s="21">
        <f>+'RESUMEN FACT'!I28*55%</f>
        <v>18776465.544375002</v>
      </c>
      <c r="K28" s="21">
        <f>+'RESUMEN FACT'!J28*60%</f>
        <v>67946222.547000006</v>
      </c>
      <c r="L28" s="21">
        <f>+'RESUMEN FACT'!K28*70%</f>
        <v>345265582.91399997</v>
      </c>
      <c r="M28" s="21">
        <f>+'RESUMEN FACT'!L28*80%</f>
        <v>118985984.208</v>
      </c>
      <c r="N28" s="21">
        <f>+'RESUMEN FACT'!M28*80%</f>
        <v>58837514.400000006</v>
      </c>
      <c r="O28" s="10">
        <f t="shared" si="1"/>
        <v>901089101.46937501</v>
      </c>
      <c r="P28" s="10">
        <f t="shared" si="2"/>
        <v>81917191.042670459</v>
      </c>
      <c r="Q28" s="11">
        <f t="shared" si="3"/>
        <v>2.4237486445377776E-3</v>
      </c>
      <c r="S28" s="125">
        <f>+O28/'RESUMEN FACT'!O28</f>
        <v>0.4699519178300911</v>
      </c>
    </row>
    <row r="29" spans="1:19" x14ac:dyDescent="0.25">
      <c r="A29" s="8" t="s">
        <v>50</v>
      </c>
      <c r="B29" s="15" t="s">
        <v>54</v>
      </c>
      <c r="C29" s="21">
        <v>252578557</v>
      </c>
      <c r="D29" s="21">
        <f>+'RESUMEN FACT'!C29*95%</f>
        <v>122024306.09999999</v>
      </c>
      <c r="E29" s="21">
        <f>+'RESUMEN FACT'!D29*95%</f>
        <v>181175201.09999999</v>
      </c>
      <c r="F29" s="21">
        <f>+'RESUMEN FACT'!E29*95%</f>
        <v>153662821.09999999</v>
      </c>
      <c r="G29" s="21">
        <f>+'RESUMEN FACT'!F29*95%</f>
        <v>119036841.09999999</v>
      </c>
      <c r="H29" s="21">
        <f>+'RESUMEN FACT'!G29*95%</f>
        <v>119036841.09999999</v>
      </c>
      <c r="I29" s="21">
        <f>+'RESUMEN FACT'!H29*95%</f>
        <v>119036841.09999999</v>
      </c>
      <c r="J29" s="21">
        <f>+'RESUMEN FACT'!I29*95%</f>
        <v>119834841.09999999</v>
      </c>
      <c r="K29" s="21">
        <f>+'RESUMEN FACT'!J29*95%</f>
        <v>119179341.09999999</v>
      </c>
      <c r="L29" s="21">
        <f>+'RESUMEN FACT'!K29*95%</f>
        <v>119036841.09999999</v>
      </c>
      <c r="M29" s="21">
        <f>+'RESUMEN FACT'!L29*95%</f>
        <v>125050246.09999999</v>
      </c>
      <c r="N29" s="21">
        <f>+'RESUMEN FACT'!M29*95%</f>
        <v>159041626.09999999</v>
      </c>
      <c r="O29" s="10">
        <f t="shared" si="1"/>
        <v>1708694304.0999997</v>
      </c>
      <c r="P29" s="10">
        <f t="shared" si="2"/>
        <v>142391192.0083333</v>
      </c>
      <c r="Q29" s="11">
        <f t="shared" si="3"/>
        <v>4.5960443831120391E-3</v>
      </c>
      <c r="S29" s="125">
        <f>+O29/'RESUMEN FACT'!O29</f>
        <v>0.98906420982645515</v>
      </c>
    </row>
    <row r="30" spans="1:19" x14ac:dyDescent="0.25">
      <c r="A30" s="16"/>
      <c r="B30" s="17" t="s">
        <v>55</v>
      </c>
      <c r="C30" s="18">
        <f>SUM(C5:C29)</f>
        <v>252578557</v>
      </c>
      <c r="D30" s="18">
        <f t="shared" ref="D30:O30" si="4">SUM(D5:D29)</f>
        <v>31513177505.90723</v>
      </c>
      <c r="E30" s="18">
        <f t="shared" si="4"/>
        <v>30510488738.230053</v>
      </c>
      <c r="F30" s="18">
        <f t="shared" si="4"/>
        <v>31569177532.243713</v>
      </c>
      <c r="G30" s="18">
        <f t="shared" si="4"/>
        <v>30941018265.857754</v>
      </c>
      <c r="H30" s="18">
        <f t="shared" si="4"/>
        <v>33434739894.465969</v>
      </c>
      <c r="I30" s="18">
        <f t="shared" si="4"/>
        <v>33613175839.707993</v>
      </c>
      <c r="J30" s="18">
        <f t="shared" si="4"/>
        <v>34798437511.982162</v>
      </c>
      <c r="K30" s="18">
        <f t="shared" si="4"/>
        <v>36725381585.243942</v>
      </c>
      <c r="L30" s="18">
        <f t="shared" si="4"/>
        <v>35933881461.048561</v>
      </c>
      <c r="M30" s="18">
        <f t="shared" si="4"/>
        <v>36612001299.880165</v>
      </c>
      <c r="N30" s="18">
        <f t="shared" si="4"/>
        <v>35870920827.025299</v>
      </c>
      <c r="O30" s="18">
        <f t="shared" si="4"/>
        <v>371774979018.59277</v>
      </c>
      <c r="P30" s="18">
        <f t="shared" si="2"/>
        <v>30981248251.549408</v>
      </c>
      <c r="Q30" s="19">
        <f t="shared" ref="Q30" si="5">SUM(Q5:Q29)</f>
        <v>0.94823038113684499</v>
      </c>
      <c r="S30" s="19">
        <f>+O30/'RESUMEN FACT'!O30</f>
        <v>0.78351134507715237</v>
      </c>
    </row>
    <row r="31" spans="1:19" s="2" customFormat="1" x14ac:dyDescent="0.25">
      <c r="A31" s="1"/>
      <c r="B31" s="1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1"/>
      <c r="R31" s="1"/>
      <c r="S31" s="1"/>
    </row>
    <row r="32" spans="1:19" x14ac:dyDescent="0.25">
      <c r="A32" s="1"/>
      <c r="B32" s="120" t="s">
        <v>66</v>
      </c>
      <c r="C32" s="13">
        <f>+'recuperación cxc'!AB302</f>
        <v>38483240944.635796</v>
      </c>
      <c r="D32" s="13">
        <f>+'recuperación cxc'!AC302</f>
        <v>6632675700.1999998</v>
      </c>
      <c r="E32" s="13">
        <f>+'recuperación cxc'!AD302</f>
        <v>10724031926.099997</v>
      </c>
      <c r="F32" s="13">
        <f>+'recuperación cxc'!AE302</f>
        <v>5316107629.7999983</v>
      </c>
      <c r="G32" s="13">
        <f>+'recuperación cxc'!AF302</f>
        <v>13669088537.706999</v>
      </c>
      <c r="H32" s="13">
        <f>+'recuperación cxc'!AG302</f>
        <v>9864629120.7744999</v>
      </c>
      <c r="I32" s="13">
        <f>+'recuperación cxc'!AH302</f>
        <v>3191127641.4833999</v>
      </c>
      <c r="J32" s="13">
        <f>+'recuperación cxc'!AI302</f>
        <v>3191127641.4833999</v>
      </c>
      <c r="K32" s="13">
        <f>+'recuperación cxc'!AJ302</f>
        <v>3191127641.4833999</v>
      </c>
      <c r="L32" s="13">
        <f>+'recuperación cxc'!AK302</f>
        <v>0</v>
      </c>
      <c r="M32" s="13">
        <f>+'recuperación cxc'!AL302</f>
        <v>0</v>
      </c>
      <c r="N32" s="13">
        <f>+'recuperación cxc'!AM302</f>
        <v>364814582.01999998</v>
      </c>
      <c r="O32" s="121">
        <f>+SUM(B32:N32)</f>
        <v>94627971365.687485</v>
      </c>
      <c r="P32" s="121">
        <f>+O32/12</f>
        <v>7885664280.4739571</v>
      </c>
    </row>
    <row r="33" spans="1:21" x14ac:dyDescent="0.25">
      <c r="A33" s="1"/>
    </row>
    <row r="34" spans="1:21" x14ac:dyDescent="0.25">
      <c r="A34" s="1"/>
      <c r="B34" s="122" t="s">
        <v>372</v>
      </c>
      <c r="C34" s="123">
        <f>+C32+C30</f>
        <v>38735819501.635796</v>
      </c>
      <c r="D34" s="123">
        <f t="shared" ref="D34:N34" si="6">+D32+D30</f>
        <v>38145853206.107231</v>
      </c>
      <c r="E34" s="123">
        <f t="shared" si="6"/>
        <v>41234520664.330048</v>
      </c>
      <c r="F34" s="123">
        <f t="shared" si="6"/>
        <v>36885285162.043709</v>
      </c>
      <c r="G34" s="123">
        <f t="shared" si="6"/>
        <v>44610106803.564751</v>
      </c>
      <c r="H34" s="123">
        <f t="shared" si="6"/>
        <v>43299369015.240471</v>
      </c>
      <c r="I34" s="123">
        <f t="shared" si="6"/>
        <v>36804303481.191391</v>
      </c>
      <c r="J34" s="123">
        <f t="shared" si="6"/>
        <v>37989565153.465561</v>
      </c>
      <c r="K34" s="123">
        <f t="shared" si="6"/>
        <v>39916509226.727341</v>
      </c>
      <c r="L34" s="123">
        <f t="shared" si="6"/>
        <v>35933881461.048561</v>
      </c>
      <c r="M34" s="123">
        <f t="shared" si="6"/>
        <v>36612001299.880165</v>
      </c>
      <c r="N34" s="123">
        <f t="shared" si="6"/>
        <v>36235735409.045296</v>
      </c>
      <c r="O34" s="123">
        <f>+SUM(B34:N34)</f>
        <v>466402950384.2804</v>
      </c>
      <c r="P34" s="123">
        <f>+O34/12</f>
        <v>38866912532.023369</v>
      </c>
    </row>
    <row r="35" spans="1:21" x14ac:dyDescent="0.25">
      <c r="A35" s="1"/>
    </row>
    <row r="36" spans="1:21" x14ac:dyDescent="0.25">
      <c r="A36" s="1"/>
      <c r="B36" s="134" t="s">
        <v>384</v>
      </c>
    </row>
    <row r="37" spans="1:21" x14ac:dyDescent="0.25">
      <c r="A37" s="1"/>
      <c r="B37" s="120" t="s">
        <v>385</v>
      </c>
      <c r="C37" s="13">
        <f>+C34-C38-C39-C40</f>
        <v>36841366432.635796</v>
      </c>
      <c r="D37" s="13">
        <f t="shared" ref="D37:N37" si="7">+D34-D38-D39-D40</f>
        <v>30218779383.307232</v>
      </c>
      <c r="E37" s="13">
        <f t="shared" si="7"/>
        <v>37411216690.170044</v>
      </c>
      <c r="F37" s="13">
        <f t="shared" si="7"/>
        <v>32804100053.163708</v>
      </c>
      <c r="G37" s="13">
        <f t="shared" si="7"/>
        <v>40528921694.684753</v>
      </c>
      <c r="H37" s="13">
        <f t="shared" si="7"/>
        <v>39218183906.360474</v>
      </c>
      <c r="I37" s="13">
        <f t="shared" si="7"/>
        <v>32574535077.378059</v>
      </c>
      <c r="J37" s="13">
        <f t="shared" si="7"/>
        <v>33759796749.652229</v>
      </c>
      <c r="K37" s="13">
        <f t="shared" si="7"/>
        <v>35223986537.199722</v>
      </c>
      <c r="L37" s="13">
        <f t="shared" si="7"/>
        <v>31241358771.520943</v>
      </c>
      <c r="M37" s="13">
        <f t="shared" si="7"/>
        <v>31919478610.352547</v>
      </c>
      <c r="N37" s="13">
        <f t="shared" si="7"/>
        <v>31543212719.517677</v>
      </c>
      <c r="O37" s="121">
        <f>+SUM(C37:N37)</f>
        <v>413284936625.94318</v>
      </c>
    </row>
    <row r="38" spans="1:21" x14ac:dyDescent="0.25">
      <c r="A38" s="1"/>
      <c r="B38" s="120" t="s">
        <v>386</v>
      </c>
      <c r="C38" s="13">
        <f>+C8+C9</f>
        <v>0</v>
      </c>
      <c r="D38" s="13">
        <f t="shared" ref="D38:N38" si="8">+D8+D9</f>
        <v>7927073822.8000002</v>
      </c>
      <c r="E38" s="13">
        <f t="shared" si="8"/>
        <v>3823303974.1599998</v>
      </c>
      <c r="F38" s="13">
        <f t="shared" si="8"/>
        <v>4081185108.8800001</v>
      </c>
      <c r="G38" s="13">
        <f t="shared" si="8"/>
        <v>4081185108.8800001</v>
      </c>
      <c r="H38" s="13">
        <f t="shared" si="8"/>
        <v>4081185108.8800001</v>
      </c>
      <c r="I38" s="13">
        <f t="shared" si="8"/>
        <v>4229768403.8133307</v>
      </c>
      <c r="J38" s="13">
        <f t="shared" si="8"/>
        <v>4229768403.8133307</v>
      </c>
      <c r="K38" s="13">
        <f t="shared" si="8"/>
        <v>4692522689.5276165</v>
      </c>
      <c r="L38" s="13">
        <f t="shared" si="8"/>
        <v>4692522689.5276165</v>
      </c>
      <c r="M38" s="13">
        <f t="shared" si="8"/>
        <v>4692522689.5276165</v>
      </c>
      <c r="N38" s="13">
        <f t="shared" si="8"/>
        <v>4692522689.5276165</v>
      </c>
      <c r="O38" s="121">
        <f t="shared" ref="O38:O41" si="9">+SUM(C38:N38)</f>
        <v>51223560689.337135</v>
      </c>
    </row>
    <row r="39" spans="1:21" x14ac:dyDescent="0.25">
      <c r="A39" s="1"/>
      <c r="B39" s="120" t="s">
        <v>389</v>
      </c>
      <c r="C39" s="13">
        <v>1894453069</v>
      </c>
      <c r="D39" s="13"/>
      <c r="E39" s="13"/>
      <c r="F39" s="13"/>
      <c r="G39" s="13"/>
      <c r="H39" s="13"/>
      <c r="I39" s="13"/>
      <c r="J39" s="13"/>
      <c r="K39" s="13"/>
      <c r="L39" s="135"/>
      <c r="M39" s="135"/>
      <c r="N39" s="135"/>
      <c r="O39" s="121"/>
      <c r="P39" s="1" t="s">
        <v>390</v>
      </c>
    </row>
    <row r="40" spans="1:21" x14ac:dyDescent="0.25">
      <c r="A40" s="1"/>
      <c r="B40" s="120" t="s">
        <v>387</v>
      </c>
      <c r="C40" s="13"/>
      <c r="D40" s="13"/>
      <c r="E40" s="13"/>
      <c r="F40" s="13"/>
      <c r="G40" s="13"/>
      <c r="H40" s="13"/>
      <c r="I40" s="13"/>
      <c r="J40" s="13"/>
      <c r="K40" s="13"/>
      <c r="L40" s="135"/>
      <c r="M40" s="135"/>
      <c r="N40" s="135"/>
      <c r="O40" s="121">
        <f t="shared" si="9"/>
        <v>0</v>
      </c>
    </row>
    <row r="41" spans="1:21" x14ac:dyDescent="0.25">
      <c r="A41" s="1"/>
      <c r="B41" s="136" t="s">
        <v>388</v>
      </c>
      <c r="C41" s="121">
        <f t="shared" ref="C41:N41" si="10">+SUM(C37:C40)</f>
        <v>38735819501.635796</v>
      </c>
      <c r="D41" s="121">
        <f t="shared" si="10"/>
        <v>38145853206.107231</v>
      </c>
      <c r="E41" s="121">
        <f t="shared" si="10"/>
        <v>41234520664.330048</v>
      </c>
      <c r="F41" s="121">
        <f t="shared" si="10"/>
        <v>36885285162.043709</v>
      </c>
      <c r="G41" s="121">
        <f t="shared" si="10"/>
        <v>44610106803.564751</v>
      </c>
      <c r="H41" s="121">
        <f t="shared" si="10"/>
        <v>43299369015.240471</v>
      </c>
      <c r="I41" s="121">
        <f t="shared" si="10"/>
        <v>36804303481.191391</v>
      </c>
      <c r="J41" s="121">
        <f t="shared" si="10"/>
        <v>37989565153.465561</v>
      </c>
      <c r="K41" s="121">
        <f t="shared" si="10"/>
        <v>39916509226.727341</v>
      </c>
      <c r="L41" s="121">
        <f t="shared" si="10"/>
        <v>35933881461.048561</v>
      </c>
      <c r="M41" s="121">
        <f t="shared" si="10"/>
        <v>36612001299.880165</v>
      </c>
      <c r="N41" s="121">
        <f t="shared" si="10"/>
        <v>36235735409.045296</v>
      </c>
      <c r="O41" s="121">
        <f t="shared" si="9"/>
        <v>466402950384.2804</v>
      </c>
    </row>
    <row r="42" spans="1:21" x14ac:dyDescent="0.25">
      <c r="A42" s="1"/>
      <c r="L42" s="3"/>
      <c r="M42" s="3"/>
      <c r="N42" s="3"/>
    </row>
    <row r="43" spans="1:21" s="126" customFormat="1" ht="45" x14ac:dyDescent="0.25">
      <c r="B43" s="130" t="s">
        <v>379</v>
      </c>
      <c r="C43" s="130" t="s">
        <v>377</v>
      </c>
      <c r="D43" s="131" t="s">
        <v>380</v>
      </c>
      <c r="E43" s="131" t="s">
        <v>381</v>
      </c>
      <c r="F43" s="131" t="s">
        <v>382</v>
      </c>
      <c r="G43" s="127"/>
      <c r="H43" s="127"/>
      <c r="I43" s="127"/>
      <c r="J43" s="127"/>
      <c r="K43" s="127"/>
      <c r="L43" s="128"/>
      <c r="M43" s="128"/>
      <c r="N43" s="128"/>
      <c r="O43" s="127"/>
      <c r="P43" s="127"/>
      <c r="T43" s="129"/>
      <c r="U43" s="129"/>
    </row>
    <row r="44" spans="1:21" x14ac:dyDescent="0.25">
      <c r="A44" s="1"/>
      <c r="B44" s="120" t="s">
        <v>354</v>
      </c>
      <c r="C44" s="13">
        <v>423097691193.73083</v>
      </c>
      <c r="D44" s="13">
        <f>+O30</f>
        <v>371774979018.59277</v>
      </c>
      <c r="E44" s="13">
        <f>+D44-C44</f>
        <v>-51322712175.138062</v>
      </c>
      <c r="F44" s="125">
        <f>+E44/C44</f>
        <v>-0.1213022742580698</v>
      </c>
    </row>
    <row r="45" spans="1:21" x14ac:dyDescent="0.25">
      <c r="A45" s="1"/>
      <c r="B45" s="120" t="s">
        <v>378</v>
      </c>
      <c r="C45" s="13">
        <v>75419281039.092514</v>
      </c>
      <c r="D45" s="13">
        <f>+O32</f>
        <v>94627971365.687485</v>
      </c>
      <c r="E45" s="13">
        <f>+P32</f>
        <v>7885664280.4739571</v>
      </c>
      <c r="F45" s="125">
        <f t="shared" ref="F45:F46" si="11">+E45/C45</f>
        <v>0.10455766976068805</v>
      </c>
    </row>
    <row r="46" spans="1:21" x14ac:dyDescent="0.25">
      <c r="A46" s="1"/>
      <c r="B46" s="132" t="s">
        <v>15</v>
      </c>
      <c r="C46" s="121">
        <f>+SUM(C44:C45)</f>
        <v>498516972232.82336</v>
      </c>
      <c r="D46" s="121">
        <f>+SUM(D44:D45)</f>
        <v>466402950384.28027</v>
      </c>
      <c r="E46" s="121">
        <f>+SUM(E44:E45)</f>
        <v>-43437047894.664108</v>
      </c>
      <c r="F46" s="133">
        <f t="shared" si="11"/>
        <v>-8.713253572914989E-2</v>
      </c>
    </row>
    <row r="47" spans="1:21" x14ac:dyDescent="0.25">
      <c r="A47" s="1"/>
    </row>
    <row r="48" spans="1:2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</sheetData>
  <autoFilter ref="A4:X30" xr:uid="{00000000-0009-0000-0000-000000000000}"/>
  <mergeCells count="2">
    <mergeCell ref="A1:Q1"/>
    <mergeCell ref="A2:Q2"/>
  </mergeCells>
  <pageMargins left="0.39370078740157483" right="0.39370078740157483" top="0.39370078740157483" bottom="0.39370078740157483" header="0.31496062992125984" footer="0.31496062992125984"/>
  <pageSetup scale="42" fitToHeight="10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0CDFF-38DD-4C9C-8561-5EBC9BC21968}">
  <dimension ref="B1:AN330"/>
  <sheetViews>
    <sheetView showGridLines="0" zoomScaleNormal="100" zoomScalePageLayoutView="98" workbookViewId="0">
      <pane xSplit="4" ySplit="6" topLeftCell="AB295" activePane="bottomRight" state="frozen"/>
      <selection pane="topRight" activeCell="E1" sqref="E1"/>
      <selection pane="bottomLeft" activeCell="A7" sqref="A7"/>
      <selection pane="bottomRight" activeCell="AM304" sqref="AM304"/>
    </sheetView>
  </sheetViews>
  <sheetFormatPr baseColWidth="10" defaultRowHeight="11.25" outlineLevelRow="2" x14ac:dyDescent="0.25"/>
  <cols>
    <col min="1" max="1" width="3.28515625" style="46" customWidth="1"/>
    <col min="2" max="2" width="26.85546875" style="46" customWidth="1"/>
    <col min="3" max="3" width="14" style="111" customWidth="1"/>
    <col min="4" max="4" width="34.42578125" style="46" customWidth="1"/>
    <col min="5" max="5" width="7.42578125" style="94" bestFit="1" customWidth="1"/>
    <col min="6" max="6" width="11.7109375" style="94" bestFit="1" customWidth="1"/>
    <col min="7" max="8" width="12.5703125" style="94" bestFit="1" customWidth="1"/>
    <col min="9" max="9" width="13.28515625" style="94" bestFit="1" customWidth="1"/>
    <col min="10" max="11" width="14.140625" style="94" bestFit="1" customWidth="1"/>
    <col min="12" max="12" width="15" style="94" bestFit="1" customWidth="1"/>
    <col min="13" max="13" width="15.85546875" style="94" bestFit="1" customWidth="1"/>
    <col min="14" max="14" width="13.5703125" style="94" bestFit="1" customWidth="1"/>
    <col min="15" max="15" width="11.7109375" style="94" bestFit="1" customWidth="1"/>
    <col min="16" max="16" width="12.5703125" style="94" bestFit="1" customWidth="1"/>
    <col min="17" max="17" width="13.42578125" style="94" bestFit="1" customWidth="1"/>
    <col min="18" max="18" width="2.5703125" style="46" customWidth="1"/>
    <col min="19" max="19" width="19.42578125" style="46" bestFit="1" customWidth="1"/>
    <col min="20" max="22" width="11.42578125" style="46"/>
    <col min="23" max="23" width="13.7109375" style="46" bestFit="1" customWidth="1"/>
    <col min="24" max="24" width="14.5703125" style="46" bestFit="1" customWidth="1"/>
    <col min="25" max="25" width="18.140625" style="46" bestFit="1" customWidth="1"/>
    <col min="26" max="26" width="13.42578125" style="46" bestFit="1" customWidth="1"/>
    <col min="27" max="27" width="2.28515625" style="46" customWidth="1"/>
    <col min="28" max="28" width="24.140625" style="46" bestFit="1" customWidth="1"/>
    <col min="29" max="29" width="11.7109375" style="46" bestFit="1" customWidth="1"/>
    <col min="30" max="31" width="12.5703125" style="46" bestFit="1" customWidth="1"/>
    <col min="32" max="32" width="15.42578125" style="46" customWidth="1"/>
    <col min="33" max="33" width="12.5703125" style="46" bestFit="1" customWidth="1"/>
    <col min="34" max="34" width="11.7109375" style="46" bestFit="1" customWidth="1"/>
    <col min="35" max="35" width="13.5703125" style="46" bestFit="1" customWidth="1"/>
    <col min="36" max="36" width="11.7109375" style="46" bestFit="1" customWidth="1"/>
    <col min="37" max="37" width="9.5703125" style="46" bestFit="1" customWidth="1"/>
    <col min="38" max="38" width="10.140625" style="46" bestFit="1" customWidth="1"/>
    <col min="39" max="39" width="10.42578125" style="46" bestFit="1" customWidth="1"/>
    <col min="40" max="40" width="12.5703125" style="46" bestFit="1" customWidth="1"/>
    <col min="41" max="16384" width="11.42578125" style="46"/>
  </cols>
  <sheetData>
    <row r="1" spans="2:40" x14ac:dyDescent="0.25">
      <c r="B1" s="41"/>
      <c r="C1" s="42" t="s">
        <v>67</v>
      </c>
      <c r="D1" s="43"/>
      <c r="E1" s="44"/>
      <c r="F1" s="44"/>
      <c r="G1" s="44"/>
      <c r="H1" s="44"/>
      <c r="I1" s="45"/>
      <c r="J1" s="45"/>
      <c r="K1" s="45"/>
      <c r="L1" s="45"/>
      <c r="M1" s="45"/>
      <c r="N1" s="45"/>
      <c r="O1" s="45"/>
      <c r="P1" s="45"/>
      <c r="Q1" s="45"/>
    </row>
    <row r="2" spans="2:40" x14ac:dyDescent="0.25">
      <c r="B2" s="41"/>
      <c r="C2" s="42" t="s">
        <v>68</v>
      </c>
      <c r="D2" s="43"/>
      <c r="E2" s="44"/>
      <c r="F2" s="44"/>
      <c r="G2" s="44"/>
      <c r="H2" s="44"/>
      <c r="I2" s="45"/>
      <c r="J2" s="45"/>
      <c r="K2" s="45"/>
      <c r="L2" s="45"/>
      <c r="M2" s="45"/>
      <c r="N2" s="45"/>
      <c r="O2" s="45"/>
      <c r="P2" s="45"/>
      <c r="Q2" s="45"/>
    </row>
    <row r="3" spans="2:40" x14ac:dyDescent="0.25">
      <c r="B3" s="41"/>
      <c r="C3" s="42" t="s">
        <v>69</v>
      </c>
      <c r="D3" s="43"/>
      <c r="E3" s="44"/>
      <c r="F3" s="44"/>
      <c r="G3" s="44"/>
      <c r="H3" s="44"/>
      <c r="I3" s="45"/>
      <c r="J3" s="45"/>
      <c r="K3" s="45"/>
      <c r="L3" s="45"/>
      <c r="M3" s="45"/>
      <c r="N3" s="45"/>
      <c r="O3" s="45"/>
      <c r="P3" s="45"/>
      <c r="Q3" s="45"/>
    </row>
    <row r="4" spans="2:40" x14ac:dyDescent="0.25">
      <c r="B4" s="41"/>
      <c r="C4" s="42" t="s">
        <v>70</v>
      </c>
      <c r="D4" s="43"/>
      <c r="E4" s="44"/>
      <c r="F4" s="44"/>
      <c r="G4" s="44"/>
      <c r="H4" s="44"/>
      <c r="I4" s="45"/>
      <c r="J4" s="45"/>
      <c r="K4" s="45"/>
      <c r="L4" s="45"/>
      <c r="M4" s="45"/>
      <c r="N4" s="45"/>
      <c r="O4" s="45"/>
      <c r="P4" s="45"/>
      <c r="Q4" s="45"/>
    </row>
    <row r="5" spans="2:40" ht="15.75" thickBot="1" x14ac:dyDescent="0.3">
      <c r="C5" s="42" t="s">
        <v>14</v>
      </c>
      <c r="D5" s="43"/>
      <c r="E5" s="44"/>
      <c r="F5" s="44"/>
      <c r="G5" s="44"/>
      <c r="H5" s="44"/>
      <c r="I5" s="45"/>
      <c r="J5" s="45"/>
      <c r="K5" s="45"/>
      <c r="L5" s="45"/>
      <c r="M5" s="45"/>
      <c r="N5" s="45"/>
      <c r="O5" s="45"/>
      <c r="P5" s="45"/>
      <c r="Q5" s="45"/>
      <c r="S5" s="46" t="s">
        <v>71</v>
      </c>
      <c r="AB5" t="s">
        <v>72</v>
      </c>
      <c r="AC5"/>
      <c r="AD5"/>
      <c r="AE5"/>
      <c r="AF5"/>
      <c r="AG5"/>
      <c r="AH5"/>
      <c r="AI5"/>
      <c r="AJ5"/>
      <c r="AK5"/>
      <c r="AL5"/>
      <c r="AM5"/>
      <c r="AN5"/>
    </row>
    <row r="6" spans="2:40" s="54" customFormat="1" ht="23.25" thickBot="1" x14ac:dyDescent="0.3">
      <c r="B6" s="47" t="s">
        <v>73</v>
      </c>
      <c r="C6" s="48" t="s">
        <v>74</v>
      </c>
      <c r="D6" s="49" t="s">
        <v>75</v>
      </c>
      <c r="E6" s="50" t="s">
        <v>76</v>
      </c>
      <c r="F6" s="51" t="s">
        <v>77</v>
      </c>
      <c r="G6" s="51" t="s">
        <v>78</v>
      </c>
      <c r="H6" s="51" t="s">
        <v>79</v>
      </c>
      <c r="I6" s="52" t="s">
        <v>80</v>
      </c>
      <c r="J6" s="51" t="s">
        <v>81</v>
      </c>
      <c r="K6" s="51" t="s">
        <v>82</v>
      </c>
      <c r="L6" s="51" t="s">
        <v>83</v>
      </c>
      <c r="M6" s="51" t="s">
        <v>84</v>
      </c>
      <c r="N6" s="53" t="s">
        <v>85</v>
      </c>
      <c r="O6" s="51" t="s">
        <v>86</v>
      </c>
      <c r="P6" s="51" t="s">
        <v>87</v>
      </c>
      <c r="Q6" s="51" t="s">
        <v>88</v>
      </c>
      <c r="S6" s="51" t="s">
        <v>79</v>
      </c>
      <c r="T6" s="51" t="s">
        <v>80</v>
      </c>
      <c r="U6" s="51" t="s">
        <v>81</v>
      </c>
      <c r="V6" s="51" t="s">
        <v>82</v>
      </c>
      <c r="W6" s="51" t="s">
        <v>83</v>
      </c>
      <c r="X6" s="51" t="s">
        <v>84</v>
      </c>
      <c r="Y6" s="51" t="s">
        <v>85</v>
      </c>
      <c r="Z6" s="51" t="s">
        <v>15</v>
      </c>
      <c r="AB6" s="55" t="s">
        <v>3</v>
      </c>
      <c r="AC6" s="55" t="s">
        <v>89</v>
      </c>
      <c r="AD6" s="55" t="s">
        <v>90</v>
      </c>
      <c r="AE6" s="55" t="s">
        <v>6</v>
      </c>
      <c r="AF6" s="55" t="s">
        <v>7</v>
      </c>
      <c r="AG6" s="55" t="s">
        <v>8</v>
      </c>
      <c r="AH6" s="55" t="s">
        <v>9</v>
      </c>
      <c r="AI6" s="55" t="s">
        <v>91</v>
      </c>
      <c r="AJ6" s="55" t="s">
        <v>92</v>
      </c>
      <c r="AK6" s="55" t="s">
        <v>93</v>
      </c>
      <c r="AL6" s="55" t="s">
        <v>94</v>
      </c>
      <c r="AM6" s="55" t="s">
        <v>95</v>
      </c>
      <c r="AN6" s="55" t="s">
        <v>15</v>
      </c>
    </row>
    <row r="7" spans="2:40" outlineLevel="2" x14ac:dyDescent="0.25">
      <c r="B7" s="56" t="s">
        <v>96</v>
      </c>
      <c r="C7" s="57">
        <v>860002180</v>
      </c>
      <c r="D7" s="58" t="s">
        <v>97</v>
      </c>
      <c r="E7" s="59">
        <v>109</v>
      </c>
      <c r="F7" s="59">
        <v>0</v>
      </c>
      <c r="G7" s="59">
        <v>28571448</v>
      </c>
      <c r="H7" s="59">
        <f>+F7+G7</f>
        <v>28571448</v>
      </c>
      <c r="I7" s="59">
        <v>5081413</v>
      </c>
      <c r="J7" s="59">
        <v>13794040</v>
      </c>
      <c r="K7" s="59">
        <v>27241379</v>
      </c>
      <c r="L7" s="59">
        <v>70941445</v>
      </c>
      <c r="M7" s="59">
        <v>11009332</v>
      </c>
      <c r="N7" s="59">
        <v>23200022</v>
      </c>
      <c r="O7" s="59">
        <v>0</v>
      </c>
      <c r="P7" s="59">
        <v>-8057843</v>
      </c>
      <c r="Q7" s="60">
        <f t="shared" ref="Q7:Q21" si="0">SUM(H7:P7)</f>
        <v>171781236</v>
      </c>
      <c r="S7" s="61">
        <f>+H7*40%</f>
        <v>11428579.200000001</v>
      </c>
      <c r="T7" s="60">
        <f>+I7*50%</f>
        <v>2540706.5</v>
      </c>
      <c r="U7" s="60">
        <f>+J7*60%</f>
        <v>8276424</v>
      </c>
      <c r="V7" s="60">
        <f>+K7*70%</f>
        <v>19068965.299999997</v>
      </c>
      <c r="W7" s="60">
        <f>+L7*0.7</f>
        <v>49659011.5</v>
      </c>
      <c r="X7" s="60">
        <f>+M7*0.75</f>
        <v>8256999</v>
      </c>
      <c r="Y7" s="60">
        <f>(Q7-S7-T7-U7-V7-W7-X7)*50%</f>
        <v>36275275.250000007</v>
      </c>
      <c r="Z7" s="60">
        <f>+SUM(S7:Y7)</f>
        <v>135505960.75</v>
      </c>
      <c r="AA7" s="62"/>
      <c r="AB7" s="60">
        <f>+S7</f>
        <v>11428579.200000001</v>
      </c>
      <c r="AC7" s="60">
        <f>+T7</f>
        <v>2540706.5</v>
      </c>
      <c r="AD7" s="60">
        <f>+U7</f>
        <v>8276424</v>
      </c>
      <c r="AE7" s="60">
        <f>+V7</f>
        <v>19068965.299999997</v>
      </c>
      <c r="AF7" s="60">
        <f t="shared" ref="AF7:AG18" si="1">+W7</f>
        <v>49659011.5</v>
      </c>
      <c r="AG7" s="60">
        <f t="shared" si="1"/>
        <v>8256999</v>
      </c>
      <c r="AH7" s="60">
        <f>+Y7/3</f>
        <v>12091758.41666667</v>
      </c>
      <c r="AI7" s="60">
        <f>+AH7</f>
        <v>12091758.41666667</v>
      </c>
      <c r="AJ7" s="60">
        <f>+AI7</f>
        <v>12091758.41666667</v>
      </c>
      <c r="AK7" s="60"/>
      <c r="AL7" s="60"/>
      <c r="AM7" s="60"/>
      <c r="AN7" s="60">
        <f>+SUM(AB7:AM7)</f>
        <v>135505960.75</v>
      </c>
    </row>
    <row r="8" spans="2:40" outlineLevel="2" x14ac:dyDescent="0.25">
      <c r="B8" s="63" t="s">
        <v>96</v>
      </c>
      <c r="C8" s="64">
        <v>860002184</v>
      </c>
      <c r="D8" s="65" t="s">
        <v>98</v>
      </c>
      <c r="E8" s="66">
        <v>16</v>
      </c>
      <c r="F8" s="66">
        <v>438</v>
      </c>
      <c r="G8" s="66">
        <v>5880855</v>
      </c>
      <c r="H8" s="66">
        <f t="shared" ref="H8:H76" si="2">+F8+G8</f>
        <v>5881293</v>
      </c>
      <c r="I8" s="66">
        <v>3210858</v>
      </c>
      <c r="J8" s="66">
        <v>1743734</v>
      </c>
      <c r="K8" s="66">
        <v>8273354</v>
      </c>
      <c r="L8" s="66">
        <v>0</v>
      </c>
      <c r="M8" s="66">
        <v>0</v>
      </c>
      <c r="N8" s="66">
        <v>19400</v>
      </c>
      <c r="O8" s="66">
        <v>0</v>
      </c>
      <c r="P8" s="66">
        <v>0</v>
      </c>
      <c r="Q8" s="67">
        <f t="shared" si="0"/>
        <v>19128639</v>
      </c>
      <c r="S8" s="68">
        <f t="shared" ref="S8:T17" si="3">+H8*50%</f>
        <v>2940646.5</v>
      </c>
      <c r="T8" s="67">
        <f t="shared" si="3"/>
        <v>1605429</v>
      </c>
      <c r="U8" s="67">
        <f t="shared" ref="U8:U17" si="4">+J8*60%</f>
        <v>1046240.3999999999</v>
      </c>
      <c r="V8" s="67">
        <f t="shared" ref="V8:V17" si="5">+K8*70%</f>
        <v>5791347.7999999998</v>
      </c>
      <c r="W8" s="67">
        <f t="shared" ref="W8:W17" si="6">+L8*0.7</f>
        <v>0</v>
      </c>
      <c r="X8" s="67">
        <f t="shared" ref="X8:X17" si="7">+M8*0.75</f>
        <v>0</v>
      </c>
      <c r="Y8" s="67">
        <f t="shared" ref="Y8:Y17" si="8">(Q8-S8-T8-U8-V8-W8-X8)*50%</f>
        <v>3872487.65</v>
      </c>
      <c r="Z8" s="67">
        <f t="shared" ref="Z8:Z18" si="9">+SUM(S8:Y8)</f>
        <v>15256151.35</v>
      </c>
      <c r="AA8" s="62"/>
      <c r="AB8" s="67">
        <f t="shared" ref="AB8:AE18" si="10">+S8</f>
        <v>2940646.5</v>
      </c>
      <c r="AC8" s="67">
        <f t="shared" si="10"/>
        <v>1605429</v>
      </c>
      <c r="AD8" s="67">
        <f t="shared" si="10"/>
        <v>1046240.3999999999</v>
      </c>
      <c r="AE8" s="67">
        <f t="shared" si="10"/>
        <v>5791347.7999999998</v>
      </c>
      <c r="AF8" s="67">
        <f t="shared" si="1"/>
        <v>0</v>
      </c>
      <c r="AG8" s="67">
        <f t="shared" si="1"/>
        <v>0</v>
      </c>
      <c r="AH8" s="67">
        <f t="shared" ref="AH8:AH18" si="11">+Y8/3</f>
        <v>1290829.2166666666</v>
      </c>
      <c r="AI8" s="67">
        <f t="shared" ref="AI8:AJ18" si="12">+AH8</f>
        <v>1290829.2166666666</v>
      </c>
      <c r="AJ8" s="67">
        <f t="shared" si="12"/>
        <v>1290829.2166666666</v>
      </c>
      <c r="AK8" s="67"/>
      <c r="AL8" s="67"/>
      <c r="AM8" s="67"/>
      <c r="AN8" s="67">
        <f t="shared" ref="AN8:AN18" si="13">+SUM(AB8:AM8)</f>
        <v>15256151.35</v>
      </c>
    </row>
    <row r="9" spans="2:40" outlineLevel="2" x14ac:dyDescent="0.25">
      <c r="B9" s="63" t="s">
        <v>96</v>
      </c>
      <c r="C9" s="64">
        <v>860002400</v>
      </c>
      <c r="D9" s="65" t="s">
        <v>99</v>
      </c>
      <c r="E9" s="66">
        <v>1354</v>
      </c>
      <c r="F9" s="66">
        <v>53187325.310000002</v>
      </c>
      <c r="G9" s="66">
        <v>36720579</v>
      </c>
      <c r="H9" s="66">
        <f t="shared" si="2"/>
        <v>89907904.310000002</v>
      </c>
      <c r="I9" s="66">
        <v>113665025</v>
      </c>
      <c r="J9" s="66">
        <v>70236262</v>
      </c>
      <c r="K9" s="66">
        <v>27839490</v>
      </c>
      <c r="L9" s="66">
        <v>174241100</v>
      </c>
      <c r="M9" s="66">
        <v>128448011</v>
      </c>
      <c r="N9" s="66">
        <v>623599310.37</v>
      </c>
      <c r="O9" s="66">
        <v>0</v>
      </c>
      <c r="P9" s="66">
        <v>-3978955</v>
      </c>
      <c r="Q9" s="67">
        <f t="shared" si="0"/>
        <v>1223958147.6799998</v>
      </c>
      <c r="S9" s="68">
        <f t="shared" si="3"/>
        <v>44953952.155000001</v>
      </c>
      <c r="T9" s="67">
        <f t="shared" si="3"/>
        <v>56832512.5</v>
      </c>
      <c r="U9" s="67">
        <f t="shared" si="4"/>
        <v>42141757.199999996</v>
      </c>
      <c r="V9" s="67">
        <f t="shared" si="5"/>
        <v>19487643</v>
      </c>
      <c r="W9" s="67">
        <f t="shared" si="6"/>
        <v>121968769.99999999</v>
      </c>
      <c r="X9" s="67">
        <f t="shared" si="7"/>
        <v>96336008.25</v>
      </c>
      <c r="Y9" s="67">
        <f>(Q9-S9-T9-U9-V9-W9-X9)*10%</f>
        <v>84223750.457499981</v>
      </c>
      <c r="Z9" s="67">
        <f t="shared" si="9"/>
        <v>465944393.56249994</v>
      </c>
      <c r="AA9" s="62"/>
      <c r="AB9" s="67">
        <f t="shared" si="10"/>
        <v>44953952.155000001</v>
      </c>
      <c r="AC9" s="67">
        <f t="shared" si="10"/>
        <v>56832512.5</v>
      </c>
      <c r="AD9" s="67">
        <f t="shared" si="10"/>
        <v>42141757.199999996</v>
      </c>
      <c r="AE9" s="67">
        <f t="shared" si="10"/>
        <v>19487643</v>
      </c>
      <c r="AF9" s="67">
        <f t="shared" si="1"/>
        <v>121968769.99999999</v>
      </c>
      <c r="AG9" s="67">
        <f t="shared" si="1"/>
        <v>96336008.25</v>
      </c>
      <c r="AH9" s="67">
        <f t="shared" si="11"/>
        <v>28074583.485833328</v>
      </c>
      <c r="AI9" s="67">
        <f t="shared" si="12"/>
        <v>28074583.485833328</v>
      </c>
      <c r="AJ9" s="67">
        <f t="shared" si="12"/>
        <v>28074583.485833328</v>
      </c>
      <c r="AK9" s="67"/>
      <c r="AL9" s="67"/>
      <c r="AM9" s="67"/>
      <c r="AN9" s="67">
        <f t="shared" si="13"/>
        <v>465944393.5625</v>
      </c>
    </row>
    <row r="10" spans="2:40" outlineLevel="2" x14ac:dyDescent="0.25">
      <c r="B10" s="63" t="s">
        <v>96</v>
      </c>
      <c r="C10" s="64">
        <v>860002503</v>
      </c>
      <c r="D10" s="65" t="s">
        <v>100</v>
      </c>
      <c r="E10" s="66">
        <v>15</v>
      </c>
      <c r="F10" s="66">
        <v>0</v>
      </c>
      <c r="G10" s="66">
        <v>0</v>
      </c>
      <c r="H10" s="66">
        <f t="shared" si="2"/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23161210.039999999</v>
      </c>
      <c r="O10" s="66">
        <v>0</v>
      </c>
      <c r="P10" s="66">
        <v>-1737260</v>
      </c>
      <c r="Q10" s="67">
        <f t="shared" si="0"/>
        <v>21423950.039999999</v>
      </c>
      <c r="S10" s="68">
        <f t="shared" si="3"/>
        <v>0</v>
      </c>
      <c r="T10" s="67">
        <f t="shared" si="3"/>
        <v>0</v>
      </c>
      <c r="U10" s="67">
        <f t="shared" si="4"/>
        <v>0</v>
      </c>
      <c r="V10" s="67">
        <f t="shared" si="5"/>
        <v>0</v>
      </c>
      <c r="W10" s="67">
        <f t="shared" si="6"/>
        <v>0</v>
      </c>
      <c r="X10" s="67">
        <f t="shared" si="7"/>
        <v>0</v>
      </c>
      <c r="Y10" s="67">
        <f t="shared" si="8"/>
        <v>10711975.02</v>
      </c>
      <c r="Z10" s="67">
        <f t="shared" si="9"/>
        <v>10711975.02</v>
      </c>
      <c r="AA10" s="62"/>
      <c r="AB10" s="67">
        <f t="shared" si="10"/>
        <v>0</v>
      </c>
      <c r="AC10" s="67">
        <f t="shared" si="10"/>
        <v>0</v>
      </c>
      <c r="AD10" s="67">
        <f t="shared" si="10"/>
        <v>0</v>
      </c>
      <c r="AE10" s="67">
        <f t="shared" si="10"/>
        <v>0</v>
      </c>
      <c r="AF10" s="67">
        <f t="shared" si="1"/>
        <v>0</v>
      </c>
      <c r="AG10" s="67">
        <f t="shared" si="1"/>
        <v>0</v>
      </c>
      <c r="AH10" s="67">
        <f t="shared" si="11"/>
        <v>3570658.34</v>
      </c>
      <c r="AI10" s="67">
        <f t="shared" si="12"/>
        <v>3570658.34</v>
      </c>
      <c r="AJ10" s="67">
        <f t="shared" si="12"/>
        <v>3570658.34</v>
      </c>
      <c r="AK10" s="67"/>
      <c r="AL10" s="67"/>
      <c r="AM10" s="67"/>
      <c r="AN10" s="67">
        <f t="shared" si="13"/>
        <v>10711975.02</v>
      </c>
    </row>
    <row r="11" spans="2:40" outlineLevel="2" x14ac:dyDescent="0.25">
      <c r="B11" s="63" t="s">
        <v>96</v>
      </c>
      <c r="C11" s="64">
        <v>860009578</v>
      </c>
      <c r="D11" s="65" t="s">
        <v>101</v>
      </c>
      <c r="E11" s="66">
        <v>157</v>
      </c>
      <c r="F11" s="66">
        <v>525619.44999999995</v>
      </c>
      <c r="G11" s="66">
        <v>30995327</v>
      </c>
      <c r="H11" s="66">
        <f t="shared" si="2"/>
        <v>31520946.449999999</v>
      </c>
      <c r="I11" s="66">
        <v>4309548</v>
      </c>
      <c r="J11" s="66">
        <v>10323603</v>
      </c>
      <c r="K11" s="66">
        <v>855005</v>
      </c>
      <c r="L11" s="66">
        <v>38896717</v>
      </c>
      <c r="M11" s="66">
        <v>34999134</v>
      </c>
      <c r="N11" s="66">
        <v>159877952.66</v>
      </c>
      <c r="O11" s="66">
        <v>0</v>
      </c>
      <c r="P11" s="66">
        <v>0</v>
      </c>
      <c r="Q11" s="67">
        <f t="shared" si="0"/>
        <v>280782906.11000001</v>
      </c>
      <c r="S11" s="68">
        <f t="shared" si="3"/>
        <v>15760473.225</v>
      </c>
      <c r="T11" s="67">
        <f t="shared" si="3"/>
        <v>2154774</v>
      </c>
      <c r="U11" s="67">
        <f t="shared" si="4"/>
        <v>6194161.7999999998</v>
      </c>
      <c r="V11" s="67">
        <f t="shared" si="5"/>
        <v>598503.5</v>
      </c>
      <c r="W11" s="67">
        <f t="shared" si="6"/>
        <v>27227701.899999999</v>
      </c>
      <c r="X11" s="67">
        <f t="shared" si="7"/>
        <v>26249350.5</v>
      </c>
      <c r="Y11" s="67">
        <f t="shared" si="8"/>
        <v>101298970.5925</v>
      </c>
      <c r="Z11" s="67">
        <f t="shared" si="9"/>
        <v>179483935.51749998</v>
      </c>
      <c r="AA11" s="62"/>
      <c r="AB11" s="67">
        <f t="shared" si="10"/>
        <v>15760473.225</v>
      </c>
      <c r="AC11" s="67">
        <f t="shared" si="10"/>
        <v>2154774</v>
      </c>
      <c r="AD11" s="67">
        <f t="shared" si="10"/>
        <v>6194161.7999999998</v>
      </c>
      <c r="AE11" s="67">
        <f t="shared" si="10"/>
        <v>598503.5</v>
      </c>
      <c r="AF11" s="67">
        <f t="shared" si="1"/>
        <v>27227701.899999999</v>
      </c>
      <c r="AG11" s="67">
        <f t="shared" si="1"/>
        <v>26249350.5</v>
      </c>
      <c r="AH11" s="67">
        <f t="shared" si="11"/>
        <v>33766323.530833334</v>
      </c>
      <c r="AI11" s="67">
        <f t="shared" si="12"/>
        <v>33766323.530833334</v>
      </c>
      <c r="AJ11" s="67">
        <f t="shared" si="12"/>
        <v>33766323.530833334</v>
      </c>
      <c r="AK11" s="67"/>
      <c r="AL11" s="67"/>
      <c r="AM11" s="67"/>
      <c r="AN11" s="67">
        <f t="shared" si="13"/>
        <v>179483935.51750001</v>
      </c>
    </row>
    <row r="12" spans="2:40" outlineLevel="2" x14ac:dyDescent="0.25">
      <c r="B12" s="63" t="s">
        <v>96</v>
      </c>
      <c r="C12" s="64">
        <v>860028415</v>
      </c>
      <c r="D12" s="65" t="s">
        <v>102</v>
      </c>
      <c r="E12" s="66">
        <v>20</v>
      </c>
      <c r="F12" s="66">
        <v>0</v>
      </c>
      <c r="G12" s="66">
        <v>0</v>
      </c>
      <c r="H12" s="66">
        <f t="shared" si="2"/>
        <v>0</v>
      </c>
      <c r="I12" s="66">
        <v>750644</v>
      </c>
      <c r="J12" s="66">
        <v>0</v>
      </c>
      <c r="K12" s="66">
        <v>0</v>
      </c>
      <c r="L12" s="66">
        <v>1697936</v>
      </c>
      <c r="M12" s="66">
        <v>700315</v>
      </c>
      <c r="N12" s="66">
        <v>5914126</v>
      </c>
      <c r="O12" s="66">
        <v>0</v>
      </c>
      <c r="P12" s="66">
        <v>0</v>
      </c>
      <c r="Q12" s="67">
        <f t="shared" si="0"/>
        <v>9063021</v>
      </c>
      <c r="S12" s="68">
        <f t="shared" si="3"/>
        <v>0</v>
      </c>
      <c r="T12" s="67">
        <f t="shared" si="3"/>
        <v>375322</v>
      </c>
      <c r="U12" s="67">
        <f t="shared" si="4"/>
        <v>0</v>
      </c>
      <c r="V12" s="67">
        <f t="shared" si="5"/>
        <v>0</v>
      </c>
      <c r="W12" s="67">
        <f t="shared" si="6"/>
        <v>1188555.2</v>
      </c>
      <c r="X12" s="67">
        <f t="shared" si="7"/>
        <v>525236.25</v>
      </c>
      <c r="Y12" s="67">
        <f t="shared" si="8"/>
        <v>3486953.7749999999</v>
      </c>
      <c r="Z12" s="67">
        <f t="shared" si="9"/>
        <v>5576067.2249999996</v>
      </c>
      <c r="AA12" s="62"/>
      <c r="AB12" s="67">
        <f t="shared" si="10"/>
        <v>0</v>
      </c>
      <c r="AC12" s="67">
        <f t="shared" si="10"/>
        <v>375322</v>
      </c>
      <c r="AD12" s="67">
        <f t="shared" si="10"/>
        <v>0</v>
      </c>
      <c r="AE12" s="67">
        <f t="shared" si="10"/>
        <v>0</v>
      </c>
      <c r="AF12" s="67">
        <f t="shared" si="1"/>
        <v>1188555.2</v>
      </c>
      <c r="AG12" s="67">
        <f t="shared" si="1"/>
        <v>525236.25</v>
      </c>
      <c r="AH12" s="67">
        <f t="shared" si="11"/>
        <v>1162317.925</v>
      </c>
      <c r="AI12" s="67">
        <f t="shared" si="12"/>
        <v>1162317.925</v>
      </c>
      <c r="AJ12" s="67">
        <f t="shared" si="12"/>
        <v>1162317.925</v>
      </c>
      <c r="AK12" s="67"/>
      <c r="AL12" s="67"/>
      <c r="AM12" s="67"/>
      <c r="AN12" s="67">
        <f t="shared" si="13"/>
        <v>5576067.2249999996</v>
      </c>
    </row>
    <row r="13" spans="2:40" outlineLevel="2" x14ac:dyDescent="0.25">
      <c r="B13" s="63" t="s">
        <v>96</v>
      </c>
      <c r="C13" s="64">
        <v>860037013</v>
      </c>
      <c r="D13" s="65" t="s">
        <v>103</v>
      </c>
      <c r="E13" s="66">
        <v>2185</v>
      </c>
      <c r="F13" s="66">
        <v>22495861.280000001</v>
      </c>
      <c r="G13" s="66">
        <v>154533375</v>
      </c>
      <c r="H13" s="66">
        <f t="shared" si="2"/>
        <v>177029236.28</v>
      </c>
      <c r="I13" s="66">
        <v>45560310</v>
      </c>
      <c r="J13" s="66">
        <v>70256036</v>
      </c>
      <c r="K13" s="66">
        <v>115108252</v>
      </c>
      <c r="L13" s="66">
        <v>216198372</v>
      </c>
      <c r="M13" s="66">
        <v>338003801.69999999</v>
      </c>
      <c r="N13" s="66">
        <v>1304634510.25</v>
      </c>
      <c r="O13" s="66">
        <v>0</v>
      </c>
      <c r="P13" s="66">
        <v>-4275304</v>
      </c>
      <c r="Q13" s="67">
        <f t="shared" si="0"/>
        <v>2262515214.23</v>
      </c>
      <c r="S13" s="68">
        <f t="shared" si="3"/>
        <v>88514618.140000001</v>
      </c>
      <c r="T13" s="67">
        <f t="shared" si="3"/>
        <v>22780155</v>
      </c>
      <c r="U13" s="67">
        <f t="shared" si="4"/>
        <v>42153621.600000001</v>
      </c>
      <c r="V13" s="67">
        <f t="shared" si="5"/>
        <v>80575776.399999991</v>
      </c>
      <c r="W13" s="67">
        <f t="shared" si="6"/>
        <v>151338860.39999998</v>
      </c>
      <c r="X13" s="67">
        <f t="shared" si="7"/>
        <v>253502851.27499998</v>
      </c>
      <c r="Y13" s="67">
        <f>(Q13-S13-T13-U13-V13-W13-X13)*10%</f>
        <v>162364933.1415</v>
      </c>
      <c r="Z13" s="67">
        <f t="shared" si="9"/>
        <v>801230815.95649993</v>
      </c>
      <c r="AA13" s="62"/>
      <c r="AB13" s="67">
        <f t="shared" si="10"/>
        <v>88514618.140000001</v>
      </c>
      <c r="AC13" s="67">
        <f t="shared" si="10"/>
        <v>22780155</v>
      </c>
      <c r="AD13" s="67">
        <f t="shared" si="10"/>
        <v>42153621.600000001</v>
      </c>
      <c r="AE13" s="67">
        <f t="shared" si="10"/>
        <v>80575776.399999991</v>
      </c>
      <c r="AF13" s="67">
        <f t="shared" si="1"/>
        <v>151338860.39999998</v>
      </c>
      <c r="AG13" s="67">
        <f t="shared" si="1"/>
        <v>253502851.27499998</v>
      </c>
      <c r="AH13" s="67">
        <f t="shared" si="11"/>
        <v>54121644.380499996</v>
      </c>
      <c r="AI13" s="67">
        <f t="shared" si="12"/>
        <v>54121644.380499996</v>
      </c>
      <c r="AJ13" s="67">
        <f t="shared" si="12"/>
        <v>54121644.380499996</v>
      </c>
      <c r="AK13" s="67"/>
      <c r="AL13" s="67"/>
      <c r="AM13" s="67"/>
      <c r="AN13" s="67">
        <f t="shared" si="13"/>
        <v>801230815.95649981</v>
      </c>
    </row>
    <row r="14" spans="2:40" outlineLevel="2" x14ac:dyDescent="0.25">
      <c r="B14" s="63" t="s">
        <v>96</v>
      </c>
      <c r="C14" s="64">
        <v>860039988</v>
      </c>
      <c r="D14" s="65" t="s">
        <v>104</v>
      </c>
      <c r="E14" s="66">
        <v>36</v>
      </c>
      <c r="F14" s="66">
        <v>0</v>
      </c>
      <c r="G14" s="66">
        <v>0</v>
      </c>
      <c r="H14" s="66">
        <f t="shared" si="2"/>
        <v>0</v>
      </c>
      <c r="I14" s="66">
        <v>0</v>
      </c>
      <c r="J14" s="66">
        <v>0</v>
      </c>
      <c r="K14" s="66">
        <v>0</v>
      </c>
      <c r="L14" s="66">
        <v>0</v>
      </c>
      <c r="M14" s="66">
        <v>2020802</v>
      </c>
      <c r="N14" s="66">
        <v>56897148</v>
      </c>
      <c r="O14" s="66">
        <v>0</v>
      </c>
      <c r="P14" s="66">
        <v>0</v>
      </c>
      <c r="Q14" s="67">
        <f t="shared" si="0"/>
        <v>58917950</v>
      </c>
      <c r="S14" s="68">
        <f t="shared" si="3"/>
        <v>0</v>
      </c>
      <c r="T14" s="67">
        <f t="shared" si="3"/>
        <v>0</v>
      </c>
      <c r="U14" s="67">
        <f t="shared" si="4"/>
        <v>0</v>
      </c>
      <c r="V14" s="67">
        <f t="shared" si="5"/>
        <v>0</v>
      </c>
      <c r="W14" s="67">
        <f t="shared" si="6"/>
        <v>0</v>
      </c>
      <c r="X14" s="67">
        <f t="shared" si="7"/>
        <v>1515601.5</v>
      </c>
      <c r="Y14" s="67">
        <f t="shared" si="8"/>
        <v>28701174.25</v>
      </c>
      <c r="Z14" s="67">
        <f t="shared" si="9"/>
        <v>30216775.75</v>
      </c>
      <c r="AA14" s="62"/>
      <c r="AB14" s="67">
        <f t="shared" si="10"/>
        <v>0</v>
      </c>
      <c r="AC14" s="67">
        <f t="shared" si="10"/>
        <v>0</v>
      </c>
      <c r="AD14" s="67">
        <f t="shared" si="10"/>
        <v>0</v>
      </c>
      <c r="AE14" s="67">
        <f t="shared" si="10"/>
        <v>0</v>
      </c>
      <c r="AF14" s="67">
        <f t="shared" si="1"/>
        <v>0</v>
      </c>
      <c r="AG14" s="67">
        <f t="shared" si="1"/>
        <v>1515601.5</v>
      </c>
      <c r="AH14" s="67">
        <f t="shared" si="11"/>
        <v>9567058.083333334</v>
      </c>
      <c r="AI14" s="67">
        <f t="shared" si="12"/>
        <v>9567058.083333334</v>
      </c>
      <c r="AJ14" s="67">
        <f t="shared" si="12"/>
        <v>9567058.083333334</v>
      </c>
      <c r="AK14" s="67"/>
      <c r="AL14" s="67"/>
      <c r="AM14" s="67"/>
      <c r="AN14" s="67">
        <f t="shared" si="13"/>
        <v>30216775.75</v>
      </c>
    </row>
    <row r="15" spans="2:40" outlineLevel="2" x14ac:dyDescent="0.25">
      <c r="B15" s="63" t="s">
        <v>96</v>
      </c>
      <c r="C15" s="64">
        <v>860524654</v>
      </c>
      <c r="D15" s="65" t="s">
        <v>105</v>
      </c>
      <c r="E15" s="66">
        <v>9</v>
      </c>
      <c r="F15" s="66">
        <v>0</v>
      </c>
      <c r="G15" s="66">
        <v>5722605</v>
      </c>
      <c r="H15" s="66">
        <f t="shared" si="2"/>
        <v>5722605</v>
      </c>
      <c r="I15" s="66">
        <v>373310</v>
      </c>
      <c r="J15" s="66">
        <v>0</v>
      </c>
      <c r="K15" s="66">
        <v>2165738</v>
      </c>
      <c r="L15" s="66">
        <v>1286044</v>
      </c>
      <c r="M15" s="66">
        <v>728677</v>
      </c>
      <c r="N15" s="66">
        <v>0</v>
      </c>
      <c r="O15" s="66">
        <v>0</v>
      </c>
      <c r="P15" s="66">
        <v>-187300</v>
      </c>
      <c r="Q15" s="67">
        <f t="shared" si="0"/>
        <v>10089074</v>
      </c>
      <c r="S15" s="68">
        <f t="shared" si="3"/>
        <v>2861302.5</v>
      </c>
      <c r="T15" s="67">
        <f t="shared" si="3"/>
        <v>186655</v>
      </c>
      <c r="U15" s="67">
        <f t="shared" si="4"/>
        <v>0</v>
      </c>
      <c r="V15" s="67">
        <f t="shared" si="5"/>
        <v>1516016.5999999999</v>
      </c>
      <c r="W15" s="67">
        <f t="shared" si="6"/>
        <v>900230.79999999993</v>
      </c>
      <c r="X15" s="67">
        <f t="shared" si="7"/>
        <v>546507.75</v>
      </c>
      <c r="Y15" s="67">
        <f t="shared" si="8"/>
        <v>2039180.6750000003</v>
      </c>
      <c r="Z15" s="67">
        <f t="shared" si="9"/>
        <v>8049893.3249999993</v>
      </c>
      <c r="AA15" s="62"/>
      <c r="AB15" s="67">
        <f t="shared" si="10"/>
        <v>2861302.5</v>
      </c>
      <c r="AC15" s="67">
        <f t="shared" si="10"/>
        <v>186655</v>
      </c>
      <c r="AD15" s="67">
        <f t="shared" si="10"/>
        <v>0</v>
      </c>
      <c r="AE15" s="67">
        <f t="shared" si="10"/>
        <v>1516016.5999999999</v>
      </c>
      <c r="AF15" s="67">
        <f t="shared" si="1"/>
        <v>900230.79999999993</v>
      </c>
      <c r="AG15" s="67">
        <f t="shared" si="1"/>
        <v>546507.75</v>
      </c>
      <c r="AH15" s="67">
        <f t="shared" si="11"/>
        <v>679726.89166666672</v>
      </c>
      <c r="AI15" s="67">
        <f t="shared" si="12"/>
        <v>679726.89166666672</v>
      </c>
      <c r="AJ15" s="67">
        <f t="shared" si="12"/>
        <v>679726.89166666672</v>
      </c>
      <c r="AK15" s="67"/>
      <c r="AL15" s="67"/>
      <c r="AM15" s="67"/>
      <c r="AN15" s="67">
        <f t="shared" si="13"/>
        <v>8049893.3249999993</v>
      </c>
    </row>
    <row r="16" spans="2:40" outlineLevel="2" x14ac:dyDescent="0.25">
      <c r="B16" s="63" t="s">
        <v>96</v>
      </c>
      <c r="C16" s="64">
        <v>890903407</v>
      </c>
      <c r="D16" s="65" t="s">
        <v>106</v>
      </c>
      <c r="E16" s="66">
        <v>157</v>
      </c>
      <c r="F16" s="66">
        <v>14442215.560000001</v>
      </c>
      <c r="G16" s="66">
        <v>20113742</v>
      </c>
      <c r="H16" s="66">
        <f t="shared" si="2"/>
        <v>34555957.560000002</v>
      </c>
      <c r="I16" s="66">
        <v>5733350</v>
      </c>
      <c r="J16" s="66">
        <v>36554102</v>
      </c>
      <c r="K16" s="66">
        <v>5687916</v>
      </c>
      <c r="L16" s="66">
        <v>91171405</v>
      </c>
      <c r="M16" s="66">
        <v>18263260</v>
      </c>
      <c r="N16" s="66">
        <v>113291057</v>
      </c>
      <c r="O16" s="66">
        <v>0</v>
      </c>
      <c r="P16" s="66">
        <v>-160500</v>
      </c>
      <c r="Q16" s="67">
        <f t="shared" si="0"/>
        <v>305096547.56</v>
      </c>
      <c r="S16" s="68">
        <f t="shared" si="3"/>
        <v>17277978.780000001</v>
      </c>
      <c r="T16" s="67">
        <f t="shared" si="3"/>
        <v>2866675</v>
      </c>
      <c r="U16" s="67">
        <f t="shared" si="4"/>
        <v>21932461.199999999</v>
      </c>
      <c r="V16" s="67">
        <f t="shared" si="5"/>
        <v>3981541.1999999997</v>
      </c>
      <c r="W16" s="67">
        <f t="shared" si="6"/>
        <v>63819983.499999993</v>
      </c>
      <c r="X16" s="67">
        <f t="shared" si="7"/>
        <v>13697445</v>
      </c>
      <c r="Y16" s="67">
        <f t="shared" si="8"/>
        <v>90760231.439999998</v>
      </c>
      <c r="Z16" s="67">
        <f t="shared" si="9"/>
        <v>214336316.12</v>
      </c>
      <c r="AA16" s="62"/>
      <c r="AB16" s="67">
        <f t="shared" si="10"/>
        <v>17277978.780000001</v>
      </c>
      <c r="AC16" s="67">
        <f t="shared" si="10"/>
        <v>2866675</v>
      </c>
      <c r="AD16" s="67">
        <f t="shared" si="10"/>
        <v>21932461.199999999</v>
      </c>
      <c r="AE16" s="67">
        <f t="shared" si="10"/>
        <v>3981541.1999999997</v>
      </c>
      <c r="AF16" s="67">
        <f t="shared" si="1"/>
        <v>63819983.499999993</v>
      </c>
      <c r="AG16" s="67">
        <f t="shared" si="1"/>
        <v>13697445</v>
      </c>
      <c r="AH16" s="67">
        <f t="shared" si="11"/>
        <v>30253410.48</v>
      </c>
      <c r="AI16" s="67">
        <f t="shared" si="12"/>
        <v>30253410.48</v>
      </c>
      <c r="AJ16" s="67">
        <f t="shared" si="12"/>
        <v>30253410.48</v>
      </c>
      <c r="AK16" s="67"/>
      <c r="AL16" s="67"/>
      <c r="AM16" s="67"/>
      <c r="AN16" s="67">
        <f t="shared" si="13"/>
        <v>214336316.11999997</v>
      </c>
    </row>
    <row r="17" spans="2:40" outlineLevel="2" x14ac:dyDescent="0.25">
      <c r="B17" s="63" t="s">
        <v>96</v>
      </c>
      <c r="C17" s="64">
        <v>891700037</v>
      </c>
      <c r="D17" s="65" t="s">
        <v>107</v>
      </c>
      <c r="E17" s="66">
        <v>27</v>
      </c>
      <c r="F17" s="66">
        <v>0</v>
      </c>
      <c r="G17" s="66">
        <v>0</v>
      </c>
      <c r="H17" s="66">
        <f t="shared" si="2"/>
        <v>0</v>
      </c>
      <c r="I17" s="66">
        <v>0</v>
      </c>
      <c r="J17" s="66">
        <v>0</v>
      </c>
      <c r="K17" s="66">
        <v>0</v>
      </c>
      <c r="L17" s="66">
        <v>726025</v>
      </c>
      <c r="M17" s="66">
        <v>429700</v>
      </c>
      <c r="N17" s="66">
        <v>45201765</v>
      </c>
      <c r="O17" s="66">
        <v>0</v>
      </c>
      <c r="P17" s="66">
        <v>-1378750</v>
      </c>
      <c r="Q17" s="67">
        <f t="shared" si="0"/>
        <v>44978740</v>
      </c>
      <c r="S17" s="68">
        <f t="shared" si="3"/>
        <v>0</v>
      </c>
      <c r="T17" s="67">
        <f t="shared" si="3"/>
        <v>0</v>
      </c>
      <c r="U17" s="67">
        <f t="shared" si="4"/>
        <v>0</v>
      </c>
      <c r="V17" s="67">
        <f t="shared" si="5"/>
        <v>0</v>
      </c>
      <c r="W17" s="67">
        <f t="shared" si="6"/>
        <v>508217.49999999994</v>
      </c>
      <c r="X17" s="67">
        <f t="shared" si="7"/>
        <v>322275</v>
      </c>
      <c r="Y17" s="67">
        <f t="shared" si="8"/>
        <v>22074123.75</v>
      </c>
      <c r="Z17" s="67">
        <f t="shared" si="9"/>
        <v>22904616.25</v>
      </c>
      <c r="AA17" s="62"/>
      <c r="AB17" s="67">
        <f t="shared" si="10"/>
        <v>0</v>
      </c>
      <c r="AC17" s="67">
        <f t="shared" si="10"/>
        <v>0</v>
      </c>
      <c r="AD17" s="67">
        <f t="shared" si="10"/>
        <v>0</v>
      </c>
      <c r="AE17" s="67">
        <f t="shared" si="10"/>
        <v>0</v>
      </c>
      <c r="AF17" s="67">
        <f t="shared" si="1"/>
        <v>508217.49999999994</v>
      </c>
      <c r="AG17" s="67">
        <f t="shared" si="1"/>
        <v>322275</v>
      </c>
      <c r="AH17" s="67">
        <f t="shared" si="11"/>
        <v>7358041.25</v>
      </c>
      <c r="AI17" s="67">
        <f t="shared" si="12"/>
        <v>7358041.25</v>
      </c>
      <c r="AJ17" s="67">
        <f t="shared" si="12"/>
        <v>7358041.25</v>
      </c>
      <c r="AK17" s="67"/>
      <c r="AL17" s="67"/>
      <c r="AM17" s="67"/>
      <c r="AN17" s="67">
        <f t="shared" si="13"/>
        <v>22904616.25</v>
      </c>
    </row>
    <row r="18" spans="2:40" ht="12" outlineLevel="2" thickBot="1" x14ac:dyDescent="0.3">
      <c r="B18" s="69" t="s">
        <v>96</v>
      </c>
      <c r="C18" s="70">
        <v>901037916</v>
      </c>
      <c r="D18" s="71" t="s">
        <v>108</v>
      </c>
      <c r="E18" s="72">
        <v>3523</v>
      </c>
      <c r="F18" s="72">
        <v>183121905.38</v>
      </c>
      <c r="G18" s="72">
        <v>847424714</v>
      </c>
      <c r="H18" s="72">
        <f t="shared" si="2"/>
        <v>1030546619.38</v>
      </c>
      <c r="I18" s="72">
        <v>276996012</v>
      </c>
      <c r="J18" s="72">
        <v>331298800</v>
      </c>
      <c r="K18" s="72">
        <v>294247751</v>
      </c>
      <c r="L18" s="72">
        <v>874989462</v>
      </c>
      <c r="M18" s="72">
        <v>1087775571.72</v>
      </c>
      <c r="N18" s="72">
        <v>5189315033.1899996</v>
      </c>
      <c r="O18" s="72">
        <v>0</v>
      </c>
      <c r="P18" s="72">
        <v>-118462350.73</v>
      </c>
      <c r="Q18" s="73">
        <f t="shared" si="0"/>
        <v>8966706898.5600014</v>
      </c>
      <c r="S18" s="74">
        <f t="shared" ref="S18:X18" si="14">+H18*10%</f>
        <v>103054661.93800001</v>
      </c>
      <c r="T18" s="73">
        <f t="shared" si="14"/>
        <v>27699601.200000003</v>
      </c>
      <c r="U18" s="73">
        <f t="shared" si="14"/>
        <v>33129880</v>
      </c>
      <c r="V18" s="73">
        <f t="shared" si="14"/>
        <v>29424775.100000001</v>
      </c>
      <c r="W18" s="73">
        <f t="shared" si="14"/>
        <v>87498946.200000003</v>
      </c>
      <c r="X18" s="73">
        <f t="shared" si="14"/>
        <v>108777557.17200001</v>
      </c>
      <c r="Y18" s="73">
        <f>(Q18-S18-T18-U18-V18-W18-X18)*5%</f>
        <v>428856073.84750003</v>
      </c>
      <c r="Z18" s="73">
        <f t="shared" si="9"/>
        <v>818441495.45749998</v>
      </c>
      <c r="AA18" s="62"/>
      <c r="AB18" s="73">
        <f t="shared" si="10"/>
        <v>103054661.93800001</v>
      </c>
      <c r="AC18" s="73">
        <f t="shared" si="10"/>
        <v>27699601.200000003</v>
      </c>
      <c r="AD18" s="73">
        <f t="shared" si="10"/>
        <v>33129880</v>
      </c>
      <c r="AE18" s="73">
        <f t="shared" si="10"/>
        <v>29424775.100000001</v>
      </c>
      <c r="AF18" s="73">
        <f t="shared" si="1"/>
        <v>87498946.200000003</v>
      </c>
      <c r="AG18" s="73">
        <f t="shared" si="1"/>
        <v>108777557.17200001</v>
      </c>
      <c r="AH18" s="73">
        <f t="shared" si="11"/>
        <v>142952024.61583334</v>
      </c>
      <c r="AI18" s="73">
        <f t="shared" si="12"/>
        <v>142952024.61583334</v>
      </c>
      <c r="AJ18" s="73">
        <f t="shared" si="12"/>
        <v>142952024.61583334</v>
      </c>
      <c r="AK18" s="73"/>
      <c r="AL18" s="73"/>
      <c r="AM18" s="73"/>
      <c r="AN18" s="73">
        <f t="shared" si="13"/>
        <v>818441495.45749998</v>
      </c>
    </row>
    <row r="19" spans="2:40" ht="12" outlineLevel="1" thickBot="1" x14ac:dyDescent="0.3">
      <c r="B19" s="75" t="s">
        <v>109</v>
      </c>
      <c r="C19" s="76"/>
      <c r="D19" s="76"/>
      <c r="E19" s="77">
        <f t="shared" ref="E19:P19" si="15">SUBTOTAL(9,E7:E18)</f>
        <v>7608</v>
      </c>
      <c r="F19" s="77">
        <f t="shared" si="15"/>
        <v>273773364.98000002</v>
      </c>
      <c r="G19" s="77">
        <f t="shared" si="15"/>
        <v>1129962645</v>
      </c>
      <c r="H19" s="77">
        <f t="shared" si="15"/>
        <v>1403736009.98</v>
      </c>
      <c r="I19" s="77">
        <f t="shared" si="15"/>
        <v>455680470</v>
      </c>
      <c r="J19" s="77">
        <f t="shared" si="15"/>
        <v>534206577</v>
      </c>
      <c r="K19" s="77">
        <f t="shared" si="15"/>
        <v>481418885</v>
      </c>
      <c r="L19" s="77">
        <f t="shared" si="15"/>
        <v>1470148506</v>
      </c>
      <c r="M19" s="77">
        <f t="shared" si="15"/>
        <v>1622378604.4200001</v>
      </c>
      <c r="N19" s="77">
        <f t="shared" si="15"/>
        <v>7545111534.5099993</v>
      </c>
      <c r="O19" s="77">
        <f t="shared" si="15"/>
        <v>0</v>
      </c>
      <c r="P19" s="77">
        <f t="shared" si="15"/>
        <v>-138238262.73000002</v>
      </c>
      <c r="Q19" s="78">
        <f>SUBTOTAL(9,Q7:Q18)</f>
        <v>13374442324.18</v>
      </c>
      <c r="S19" s="79">
        <f>SUBTOTAL(9,S7:S18)</f>
        <v>286792212.43800002</v>
      </c>
      <c r="T19" s="78">
        <f t="shared" ref="T19:Y19" si="16">SUBTOTAL(9,T7:T18)</f>
        <v>117041830.2</v>
      </c>
      <c r="U19" s="78">
        <f t="shared" si="16"/>
        <v>154874546.19999999</v>
      </c>
      <c r="V19" s="78">
        <f t="shared" si="16"/>
        <v>160444568.89999998</v>
      </c>
      <c r="W19" s="78">
        <f t="shared" si="16"/>
        <v>504110277</v>
      </c>
      <c r="X19" s="78">
        <f t="shared" si="16"/>
        <v>509729831.69699997</v>
      </c>
      <c r="Y19" s="78">
        <f t="shared" si="16"/>
        <v>974665129.84899998</v>
      </c>
      <c r="Z19" s="78">
        <f>SUBTOTAL(9,Z7:Z18)</f>
        <v>2707658396.2839999</v>
      </c>
      <c r="AA19" s="62"/>
      <c r="AB19" s="78">
        <f t="shared" ref="AB19:AN19" si="17">SUBTOTAL(9,AB7:AB18)</f>
        <v>286792212.43800002</v>
      </c>
      <c r="AC19" s="78">
        <f t="shared" si="17"/>
        <v>117041830.2</v>
      </c>
      <c r="AD19" s="78">
        <f t="shared" si="17"/>
        <v>154874546.19999999</v>
      </c>
      <c r="AE19" s="78">
        <f t="shared" si="17"/>
        <v>160444568.89999998</v>
      </c>
      <c r="AF19" s="78">
        <f t="shared" si="17"/>
        <v>504110277</v>
      </c>
      <c r="AG19" s="78">
        <f t="shared" si="17"/>
        <v>509729831.69699997</v>
      </c>
      <c r="AH19" s="78">
        <f t="shared" si="17"/>
        <v>324888376.61633337</v>
      </c>
      <c r="AI19" s="78">
        <f t="shared" si="17"/>
        <v>324888376.61633337</v>
      </c>
      <c r="AJ19" s="78">
        <f t="shared" si="17"/>
        <v>324888376.61633337</v>
      </c>
      <c r="AK19" s="78">
        <f t="shared" si="17"/>
        <v>0</v>
      </c>
      <c r="AL19" s="78">
        <f t="shared" si="17"/>
        <v>0</v>
      </c>
      <c r="AM19" s="78">
        <f t="shared" si="17"/>
        <v>0</v>
      </c>
      <c r="AN19" s="78">
        <f t="shared" si="17"/>
        <v>2707658396.2839994</v>
      </c>
    </row>
    <row r="20" spans="2:40" outlineLevel="2" x14ac:dyDescent="0.25">
      <c r="B20" s="80" t="s">
        <v>51</v>
      </c>
      <c r="C20" s="81">
        <v>800226175</v>
      </c>
      <c r="D20" s="82" t="s">
        <v>110</v>
      </c>
      <c r="E20" s="83">
        <v>2</v>
      </c>
      <c r="F20" s="83">
        <v>216499</v>
      </c>
      <c r="G20" s="83">
        <v>0</v>
      </c>
      <c r="H20" s="83">
        <f t="shared" si="2"/>
        <v>216499</v>
      </c>
      <c r="I20" s="83">
        <v>159305</v>
      </c>
      <c r="J20" s="83">
        <v>0</v>
      </c>
      <c r="K20" s="83">
        <v>0</v>
      </c>
      <c r="L20" s="83">
        <v>134455.54</v>
      </c>
      <c r="M20" s="83">
        <v>0</v>
      </c>
      <c r="N20" s="83">
        <v>0</v>
      </c>
      <c r="O20" s="83">
        <v>0</v>
      </c>
      <c r="P20" s="83">
        <v>0</v>
      </c>
      <c r="Q20" s="84">
        <f t="shared" si="0"/>
        <v>510259.54000000004</v>
      </c>
      <c r="S20" s="85">
        <f t="shared" ref="S20:T28" si="18">+H20*50%</f>
        <v>108249.5</v>
      </c>
      <c r="T20" s="84">
        <f t="shared" si="18"/>
        <v>79652.5</v>
      </c>
      <c r="U20" s="84">
        <f t="shared" ref="U20:U28" si="19">+J20*60%</f>
        <v>0</v>
      </c>
      <c r="V20" s="84">
        <f t="shared" ref="V20:V28" si="20">+K20*70%</f>
        <v>0</v>
      </c>
      <c r="W20" s="84">
        <f t="shared" ref="W20:W28" si="21">+L20*0.7</f>
        <v>94118.877999999997</v>
      </c>
      <c r="X20" s="84">
        <f t="shared" ref="X20:X28" si="22">+M20*0.75</f>
        <v>0</v>
      </c>
      <c r="Y20" s="84">
        <f>(Q20-S20-T20-U20-V20-W20-X20)*5%</f>
        <v>11411.933100000002</v>
      </c>
      <c r="Z20" s="84">
        <f t="shared" ref="Z20:Z28" si="23">+SUM(S20:Y20)</f>
        <v>293432.81110000005</v>
      </c>
      <c r="AA20" s="62"/>
      <c r="AB20" s="84">
        <f t="shared" ref="AB20:AG28" si="24">+S20</f>
        <v>108249.5</v>
      </c>
      <c r="AC20" s="84">
        <f t="shared" si="24"/>
        <v>79652.5</v>
      </c>
      <c r="AD20" s="84">
        <f t="shared" si="24"/>
        <v>0</v>
      </c>
      <c r="AE20" s="84">
        <f t="shared" si="24"/>
        <v>0</v>
      </c>
      <c r="AF20" s="84">
        <f t="shared" si="24"/>
        <v>94118.877999999997</v>
      </c>
      <c r="AG20" s="84">
        <f t="shared" si="24"/>
        <v>0</v>
      </c>
      <c r="AH20" s="84">
        <f t="shared" ref="AH20:AH28" si="25">+Y20/3</f>
        <v>3803.9777000000008</v>
      </c>
      <c r="AI20" s="84">
        <f t="shared" ref="AI20:AJ28" si="26">+AH20</f>
        <v>3803.9777000000008</v>
      </c>
      <c r="AJ20" s="84">
        <f t="shared" si="26"/>
        <v>3803.9777000000008</v>
      </c>
      <c r="AK20" s="84"/>
      <c r="AL20" s="84"/>
      <c r="AM20" s="84"/>
      <c r="AN20" s="84">
        <f t="shared" ref="AN20:AN28" si="27">+SUM(AB20:AM20)</f>
        <v>293432.81109999999</v>
      </c>
    </row>
    <row r="21" spans="2:40" outlineLevel="2" x14ac:dyDescent="0.25">
      <c r="B21" s="63" t="s">
        <v>51</v>
      </c>
      <c r="C21" s="64">
        <v>830008686</v>
      </c>
      <c r="D21" s="65" t="s">
        <v>111</v>
      </c>
      <c r="E21" s="66">
        <v>21</v>
      </c>
      <c r="F21" s="66">
        <v>0</v>
      </c>
      <c r="G21" s="66">
        <v>0</v>
      </c>
      <c r="H21" s="66">
        <f t="shared" si="2"/>
        <v>0</v>
      </c>
      <c r="I21" s="66">
        <v>315305</v>
      </c>
      <c r="J21" s="66">
        <v>350966</v>
      </c>
      <c r="K21" s="66">
        <v>0</v>
      </c>
      <c r="L21" s="66">
        <v>2026116</v>
      </c>
      <c r="M21" s="66">
        <v>116900</v>
      </c>
      <c r="N21" s="66">
        <v>16467797</v>
      </c>
      <c r="O21" s="66">
        <v>0</v>
      </c>
      <c r="P21" s="66">
        <v>0</v>
      </c>
      <c r="Q21" s="67">
        <f t="shared" si="0"/>
        <v>19277084</v>
      </c>
      <c r="S21" s="68">
        <f t="shared" si="18"/>
        <v>0</v>
      </c>
      <c r="T21" s="67">
        <f t="shared" si="18"/>
        <v>157652.5</v>
      </c>
      <c r="U21" s="67">
        <f t="shared" si="19"/>
        <v>210579.6</v>
      </c>
      <c r="V21" s="67">
        <f t="shared" si="20"/>
        <v>0</v>
      </c>
      <c r="W21" s="67">
        <f t="shared" si="21"/>
        <v>1418281.2</v>
      </c>
      <c r="X21" s="67">
        <f t="shared" si="22"/>
        <v>87675</v>
      </c>
      <c r="Y21" s="67">
        <f t="shared" ref="Y21:Y28" si="28">(Q21-S21-T21-U21-V21-W21-X21)*5%</f>
        <v>870144.78500000003</v>
      </c>
      <c r="Z21" s="67">
        <f t="shared" si="23"/>
        <v>2744333.085</v>
      </c>
      <c r="AA21" s="62"/>
      <c r="AB21" s="67">
        <f t="shared" si="24"/>
        <v>0</v>
      </c>
      <c r="AC21" s="67">
        <f t="shared" si="24"/>
        <v>157652.5</v>
      </c>
      <c r="AD21" s="67">
        <f t="shared" si="24"/>
        <v>210579.6</v>
      </c>
      <c r="AE21" s="67">
        <f t="shared" si="24"/>
        <v>0</v>
      </c>
      <c r="AF21" s="67">
        <f t="shared" si="24"/>
        <v>1418281.2</v>
      </c>
      <c r="AG21" s="67">
        <f t="shared" si="24"/>
        <v>87675</v>
      </c>
      <c r="AH21" s="67">
        <f t="shared" si="25"/>
        <v>290048.26166666666</v>
      </c>
      <c r="AI21" s="67">
        <f t="shared" si="26"/>
        <v>290048.26166666666</v>
      </c>
      <c r="AJ21" s="67">
        <f t="shared" si="26"/>
        <v>290048.26166666666</v>
      </c>
      <c r="AK21" s="67"/>
      <c r="AL21" s="67"/>
      <c r="AM21" s="67"/>
      <c r="AN21" s="67">
        <f t="shared" si="27"/>
        <v>2744333.085</v>
      </c>
    </row>
    <row r="22" spans="2:40" outlineLevel="2" x14ac:dyDescent="0.25">
      <c r="B22" s="63" t="s">
        <v>51</v>
      </c>
      <c r="C22" s="64">
        <v>860002180</v>
      </c>
      <c r="D22" s="65" t="s">
        <v>97</v>
      </c>
      <c r="E22" s="66">
        <v>1</v>
      </c>
      <c r="F22" s="66">
        <v>0</v>
      </c>
      <c r="G22" s="66">
        <v>0</v>
      </c>
      <c r="H22" s="66">
        <f t="shared" si="2"/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12480609</v>
      </c>
      <c r="O22" s="66">
        <v>0</v>
      </c>
      <c r="P22" s="66">
        <v>0</v>
      </c>
      <c r="Q22" s="67">
        <f t="shared" ref="Q22:Q31" si="29">SUM(H22:P22)</f>
        <v>12480609</v>
      </c>
      <c r="S22" s="68">
        <f t="shared" si="18"/>
        <v>0</v>
      </c>
      <c r="T22" s="67">
        <f t="shared" si="18"/>
        <v>0</v>
      </c>
      <c r="U22" s="67">
        <f t="shared" si="19"/>
        <v>0</v>
      </c>
      <c r="V22" s="67">
        <f t="shared" si="20"/>
        <v>0</v>
      </c>
      <c r="W22" s="67">
        <f t="shared" si="21"/>
        <v>0</v>
      </c>
      <c r="X22" s="67">
        <f t="shared" si="22"/>
        <v>0</v>
      </c>
      <c r="Y22" s="67">
        <f t="shared" si="28"/>
        <v>624030.45000000007</v>
      </c>
      <c r="Z22" s="67">
        <f t="shared" si="23"/>
        <v>624030.45000000007</v>
      </c>
      <c r="AA22" s="62"/>
      <c r="AB22" s="67">
        <f t="shared" si="24"/>
        <v>0</v>
      </c>
      <c r="AC22" s="67">
        <f t="shared" si="24"/>
        <v>0</v>
      </c>
      <c r="AD22" s="67">
        <f t="shared" si="24"/>
        <v>0</v>
      </c>
      <c r="AE22" s="67">
        <f t="shared" si="24"/>
        <v>0</v>
      </c>
      <c r="AF22" s="67">
        <f t="shared" si="24"/>
        <v>0</v>
      </c>
      <c r="AG22" s="67">
        <f t="shared" si="24"/>
        <v>0</v>
      </c>
      <c r="AH22" s="67">
        <f t="shared" si="25"/>
        <v>208010.15000000002</v>
      </c>
      <c r="AI22" s="67">
        <f t="shared" si="26"/>
        <v>208010.15000000002</v>
      </c>
      <c r="AJ22" s="67">
        <f t="shared" si="26"/>
        <v>208010.15000000002</v>
      </c>
      <c r="AK22" s="67"/>
      <c r="AL22" s="67"/>
      <c r="AM22" s="67"/>
      <c r="AN22" s="67">
        <f t="shared" si="27"/>
        <v>624030.45000000007</v>
      </c>
    </row>
    <row r="23" spans="2:40" outlineLevel="2" x14ac:dyDescent="0.25">
      <c r="B23" s="63" t="s">
        <v>51</v>
      </c>
      <c r="C23" s="64">
        <v>860002183</v>
      </c>
      <c r="D23" s="65" t="s">
        <v>112</v>
      </c>
      <c r="E23" s="66">
        <v>31</v>
      </c>
      <c r="F23" s="66">
        <v>0</v>
      </c>
      <c r="G23" s="66">
        <v>3416455</v>
      </c>
      <c r="H23" s="66">
        <f t="shared" si="2"/>
        <v>3416455</v>
      </c>
      <c r="I23" s="66">
        <v>0</v>
      </c>
      <c r="J23" s="66">
        <v>116900</v>
      </c>
      <c r="K23" s="66">
        <v>290100</v>
      </c>
      <c r="L23" s="66">
        <v>1101500</v>
      </c>
      <c r="M23" s="66">
        <v>2718910</v>
      </c>
      <c r="N23" s="66">
        <v>19828738.59</v>
      </c>
      <c r="O23" s="66">
        <v>0</v>
      </c>
      <c r="P23" s="66">
        <v>0</v>
      </c>
      <c r="Q23" s="67">
        <f t="shared" si="29"/>
        <v>27472603.59</v>
      </c>
      <c r="S23" s="68">
        <f t="shared" si="18"/>
        <v>1708227.5</v>
      </c>
      <c r="T23" s="67">
        <f t="shared" si="18"/>
        <v>0</v>
      </c>
      <c r="U23" s="67">
        <f t="shared" si="19"/>
        <v>70140</v>
      </c>
      <c r="V23" s="67">
        <f t="shared" si="20"/>
        <v>203070</v>
      </c>
      <c r="W23" s="67">
        <f t="shared" si="21"/>
        <v>771050</v>
      </c>
      <c r="X23" s="67">
        <f t="shared" si="22"/>
        <v>2039182.5</v>
      </c>
      <c r="Y23" s="67">
        <f t="shared" si="28"/>
        <v>1134046.6795000001</v>
      </c>
      <c r="Z23" s="67">
        <f>+SUM(S23:Y23)</f>
        <v>5925716.6795000006</v>
      </c>
      <c r="AA23" s="62"/>
      <c r="AB23" s="67">
        <f t="shared" si="24"/>
        <v>1708227.5</v>
      </c>
      <c r="AC23" s="67">
        <f t="shared" si="24"/>
        <v>0</v>
      </c>
      <c r="AD23" s="67">
        <f t="shared" si="24"/>
        <v>70140</v>
      </c>
      <c r="AE23" s="67">
        <f t="shared" si="24"/>
        <v>203070</v>
      </c>
      <c r="AF23" s="67">
        <f t="shared" si="24"/>
        <v>771050</v>
      </c>
      <c r="AG23" s="67">
        <f t="shared" si="24"/>
        <v>2039182.5</v>
      </c>
      <c r="AH23" s="67">
        <f t="shared" si="25"/>
        <v>378015.55983333336</v>
      </c>
      <c r="AI23" s="67">
        <f t="shared" si="26"/>
        <v>378015.55983333336</v>
      </c>
      <c r="AJ23" s="67">
        <f t="shared" si="26"/>
        <v>378015.55983333336</v>
      </c>
      <c r="AK23" s="67"/>
      <c r="AL23" s="67"/>
      <c r="AM23" s="67"/>
      <c r="AN23" s="67">
        <f t="shared" si="27"/>
        <v>5925716.6794999987</v>
      </c>
    </row>
    <row r="24" spans="2:40" outlineLevel="2" x14ac:dyDescent="0.25">
      <c r="B24" s="63" t="s">
        <v>51</v>
      </c>
      <c r="C24" s="64">
        <v>860002503</v>
      </c>
      <c r="D24" s="65" t="s">
        <v>100</v>
      </c>
      <c r="E24" s="66">
        <v>35</v>
      </c>
      <c r="F24" s="66">
        <v>0</v>
      </c>
      <c r="G24" s="66">
        <v>0</v>
      </c>
      <c r="H24" s="66">
        <f t="shared" si="2"/>
        <v>0</v>
      </c>
      <c r="I24" s="66">
        <v>2961411</v>
      </c>
      <c r="J24" s="66">
        <v>580200</v>
      </c>
      <c r="K24" s="66">
        <v>0</v>
      </c>
      <c r="L24" s="66">
        <v>2133300</v>
      </c>
      <c r="M24" s="66">
        <v>261255</v>
      </c>
      <c r="N24" s="66">
        <v>10820141</v>
      </c>
      <c r="O24" s="66">
        <v>0</v>
      </c>
      <c r="P24" s="66">
        <v>0</v>
      </c>
      <c r="Q24" s="67">
        <f t="shared" si="29"/>
        <v>16756307</v>
      </c>
      <c r="S24" s="68">
        <f t="shared" si="18"/>
        <v>0</v>
      </c>
      <c r="T24" s="67">
        <f t="shared" si="18"/>
        <v>1480705.5</v>
      </c>
      <c r="U24" s="67">
        <f t="shared" si="19"/>
        <v>348120</v>
      </c>
      <c r="V24" s="67">
        <f t="shared" si="20"/>
        <v>0</v>
      </c>
      <c r="W24" s="67">
        <f t="shared" si="21"/>
        <v>1493310</v>
      </c>
      <c r="X24" s="67">
        <f t="shared" si="22"/>
        <v>195941.25</v>
      </c>
      <c r="Y24" s="67">
        <f t="shared" si="28"/>
        <v>661911.51250000007</v>
      </c>
      <c r="Z24" s="67">
        <f t="shared" si="23"/>
        <v>4179988.2625000002</v>
      </c>
      <c r="AA24" s="62"/>
      <c r="AB24" s="67">
        <f t="shared" si="24"/>
        <v>0</v>
      </c>
      <c r="AC24" s="67">
        <f t="shared" si="24"/>
        <v>1480705.5</v>
      </c>
      <c r="AD24" s="67">
        <f t="shared" si="24"/>
        <v>348120</v>
      </c>
      <c r="AE24" s="67">
        <f t="shared" si="24"/>
        <v>0</v>
      </c>
      <c r="AF24" s="67">
        <f t="shared" si="24"/>
        <v>1493310</v>
      </c>
      <c r="AG24" s="67">
        <f t="shared" si="24"/>
        <v>195941.25</v>
      </c>
      <c r="AH24" s="67">
        <f t="shared" si="25"/>
        <v>220637.17083333337</v>
      </c>
      <c r="AI24" s="67">
        <f t="shared" si="26"/>
        <v>220637.17083333337</v>
      </c>
      <c r="AJ24" s="67">
        <f t="shared" si="26"/>
        <v>220637.17083333337</v>
      </c>
      <c r="AK24" s="67"/>
      <c r="AL24" s="67"/>
      <c r="AM24" s="67"/>
      <c r="AN24" s="67">
        <f t="shared" si="27"/>
        <v>4179988.2625000002</v>
      </c>
    </row>
    <row r="25" spans="2:40" outlineLevel="2" x14ac:dyDescent="0.25">
      <c r="B25" s="63" t="s">
        <v>51</v>
      </c>
      <c r="C25" s="64">
        <v>860008645</v>
      </c>
      <c r="D25" s="65" t="s">
        <v>113</v>
      </c>
      <c r="E25" s="66">
        <v>10</v>
      </c>
      <c r="F25" s="66">
        <v>0</v>
      </c>
      <c r="G25" s="66">
        <v>0</v>
      </c>
      <c r="H25" s="66">
        <f t="shared" si="2"/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5174155</v>
      </c>
      <c r="O25" s="66">
        <v>0</v>
      </c>
      <c r="P25" s="66">
        <v>0</v>
      </c>
      <c r="Q25" s="67">
        <f t="shared" si="29"/>
        <v>5174155</v>
      </c>
      <c r="S25" s="68">
        <f t="shared" si="18"/>
        <v>0</v>
      </c>
      <c r="T25" s="67">
        <f t="shared" si="18"/>
        <v>0</v>
      </c>
      <c r="U25" s="67">
        <f t="shared" si="19"/>
        <v>0</v>
      </c>
      <c r="V25" s="67">
        <f t="shared" si="20"/>
        <v>0</v>
      </c>
      <c r="W25" s="67">
        <f t="shared" si="21"/>
        <v>0</v>
      </c>
      <c r="X25" s="67">
        <f t="shared" si="22"/>
        <v>0</v>
      </c>
      <c r="Y25" s="67">
        <f t="shared" si="28"/>
        <v>258707.75</v>
      </c>
      <c r="Z25" s="67">
        <f t="shared" si="23"/>
        <v>258707.75</v>
      </c>
      <c r="AA25" s="62"/>
      <c r="AB25" s="67">
        <f t="shared" si="24"/>
        <v>0</v>
      </c>
      <c r="AC25" s="67">
        <f t="shared" si="24"/>
        <v>0</v>
      </c>
      <c r="AD25" s="67">
        <f t="shared" si="24"/>
        <v>0</v>
      </c>
      <c r="AE25" s="67">
        <f t="shared" si="24"/>
        <v>0</v>
      </c>
      <c r="AF25" s="67">
        <f t="shared" si="24"/>
        <v>0</v>
      </c>
      <c r="AG25" s="67">
        <f t="shared" si="24"/>
        <v>0</v>
      </c>
      <c r="AH25" s="67">
        <f t="shared" si="25"/>
        <v>86235.916666666672</v>
      </c>
      <c r="AI25" s="67">
        <f t="shared" si="26"/>
        <v>86235.916666666672</v>
      </c>
      <c r="AJ25" s="67">
        <f t="shared" si="26"/>
        <v>86235.916666666672</v>
      </c>
      <c r="AK25" s="67"/>
      <c r="AL25" s="67"/>
      <c r="AM25" s="67"/>
      <c r="AN25" s="67">
        <f t="shared" si="27"/>
        <v>258707.75</v>
      </c>
    </row>
    <row r="26" spans="2:40" outlineLevel="2" x14ac:dyDescent="0.25">
      <c r="B26" s="63" t="s">
        <v>51</v>
      </c>
      <c r="C26" s="64">
        <v>860009174</v>
      </c>
      <c r="D26" s="65" t="s">
        <v>114</v>
      </c>
      <c r="E26" s="66">
        <v>3</v>
      </c>
      <c r="F26" s="66">
        <v>0</v>
      </c>
      <c r="G26" s="66">
        <v>1951894</v>
      </c>
      <c r="H26" s="66">
        <f t="shared" si="2"/>
        <v>1951894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3875136</v>
      </c>
      <c r="O26" s="66">
        <v>0</v>
      </c>
      <c r="P26" s="66">
        <v>0</v>
      </c>
      <c r="Q26" s="67">
        <f t="shared" si="29"/>
        <v>5827030</v>
      </c>
      <c r="S26" s="68">
        <f t="shared" si="18"/>
        <v>975947</v>
      </c>
      <c r="T26" s="67">
        <f t="shared" si="18"/>
        <v>0</v>
      </c>
      <c r="U26" s="67">
        <f t="shared" si="19"/>
        <v>0</v>
      </c>
      <c r="V26" s="67">
        <f t="shared" si="20"/>
        <v>0</v>
      </c>
      <c r="W26" s="67">
        <f t="shared" si="21"/>
        <v>0</v>
      </c>
      <c r="X26" s="67">
        <f t="shared" si="22"/>
        <v>0</v>
      </c>
      <c r="Y26" s="67">
        <f t="shared" si="28"/>
        <v>242554.15000000002</v>
      </c>
      <c r="Z26" s="67">
        <f t="shared" si="23"/>
        <v>1218501.1499999999</v>
      </c>
      <c r="AA26" s="62"/>
      <c r="AB26" s="67">
        <f t="shared" si="24"/>
        <v>975947</v>
      </c>
      <c r="AC26" s="67">
        <f t="shared" si="24"/>
        <v>0</v>
      </c>
      <c r="AD26" s="67">
        <f t="shared" si="24"/>
        <v>0</v>
      </c>
      <c r="AE26" s="67">
        <f t="shared" si="24"/>
        <v>0</v>
      </c>
      <c r="AF26" s="67">
        <f t="shared" si="24"/>
        <v>0</v>
      </c>
      <c r="AG26" s="67">
        <f t="shared" si="24"/>
        <v>0</v>
      </c>
      <c r="AH26" s="67">
        <f t="shared" si="25"/>
        <v>80851.383333333346</v>
      </c>
      <c r="AI26" s="67">
        <f t="shared" si="26"/>
        <v>80851.383333333346</v>
      </c>
      <c r="AJ26" s="67">
        <f t="shared" si="26"/>
        <v>80851.383333333346</v>
      </c>
      <c r="AK26" s="67"/>
      <c r="AL26" s="67"/>
      <c r="AM26" s="67"/>
      <c r="AN26" s="67">
        <f t="shared" si="27"/>
        <v>1218501.1499999999</v>
      </c>
    </row>
    <row r="27" spans="2:40" outlineLevel="2" x14ac:dyDescent="0.25">
      <c r="B27" s="63" t="s">
        <v>51</v>
      </c>
      <c r="C27" s="64">
        <v>860011153</v>
      </c>
      <c r="D27" s="65" t="s">
        <v>115</v>
      </c>
      <c r="E27" s="66">
        <v>28</v>
      </c>
      <c r="F27" s="66">
        <v>3329656.65</v>
      </c>
      <c r="G27" s="66">
        <v>5009270</v>
      </c>
      <c r="H27" s="66">
        <f t="shared" si="2"/>
        <v>8338926.6500000004</v>
      </c>
      <c r="I27" s="66">
        <v>1373494</v>
      </c>
      <c r="J27" s="66">
        <v>1129823</v>
      </c>
      <c r="K27" s="66">
        <v>0</v>
      </c>
      <c r="L27" s="66">
        <v>134000</v>
      </c>
      <c r="M27" s="66">
        <v>0</v>
      </c>
      <c r="N27" s="66">
        <v>1878863</v>
      </c>
      <c r="O27" s="66">
        <v>0</v>
      </c>
      <c r="P27" s="66">
        <v>0</v>
      </c>
      <c r="Q27" s="67">
        <f t="shared" si="29"/>
        <v>12855106.65</v>
      </c>
      <c r="S27" s="68">
        <f t="shared" si="18"/>
        <v>4169463.3250000002</v>
      </c>
      <c r="T27" s="67">
        <f t="shared" si="18"/>
        <v>686747</v>
      </c>
      <c r="U27" s="67">
        <f t="shared" si="19"/>
        <v>677893.79999999993</v>
      </c>
      <c r="V27" s="67">
        <f t="shared" si="20"/>
        <v>0</v>
      </c>
      <c r="W27" s="67">
        <f t="shared" si="21"/>
        <v>93800</v>
      </c>
      <c r="X27" s="67">
        <f t="shared" si="22"/>
        <v>0</v>
      </c>
      <c r="Y27" s="67">
        <f t="shared" si="28"/>
        <v>361360.12624999997</v>
      </c>
      <c r="Z27" s="67">
        <f t="shared" si="23"/>
        <v>5989264.2512499997</v>
      </c>
      <c r="AA27" s="62"/>
      <c r="AB27" s="67">
        <f t="shared" si="24"/>
        <v>4169463.3250000002</v>
      </c>
      <c r="AC27" s="67">
        <f t="shared" si="24"/>
        <v>686747</v>
      </c>
      <c r="AD27" s="67">
        <f t="shared" si="24"/>
        <v>677893.79999999993</v>
      </c>
      <c r="AE27" s="67">
        <f t="shared" si="24"/>
        <v>0</v>
      </c>
      <c r="AF27" s="67">
        <f t="shared" si="24"/>
        <v>93800</v>
      </c>
      <c r="AG27" s="67">
        <f t="shared" si="24"/>
        <v>0</v>
      </c>
      <c r="AH27" s="67">
        <f t="shared" si="25"/>
        <v>120453.37541666666</v>
      </c>
      <c r="AI27" s="67">
        <f t="shared" si="26"/>
        <v>120453.37541666666</v>
      </c>
      <c r="AJ27" s="67">
        <f t="shared" si="26"/>
        <v>120453.37541666666</v>
      </c>
      <c r="AK27" s="67"/>
      <c r="AL27" s="67"/>
      <c r="AM27" s="67"/>
      <c r="AN27" s="67">
        <f t="shared" si="27"/>
        <v>5989264.2512499988</v>
      </c>
    </row>
    <row r="28" spans="2:40" ht="12" outlineLevel="2" thickBot="1" x14ac:dyDescent="0.3">
      <c r="B28" s="63" t="s">
        <v>51</v>
      </c>
      <c r="C28" s="64">
        <v>890903790</v>
      </c>
      <c r="D28" s="65" t="s">
        <v>116</v>
      </c>
      <c r="E28" s="66">
        <v>300</v>
      </c>
      <c r="F28" s="66">
        <v>858800</v>
      </c>
      <c r="G28" s="66">
        <v>29217470</v>
      </c>
      <c r="H28" s="66">
        <f t="shared" si="2"/>
        <v>30076270</v>
      </c>
      <c r="I28" s="66">
        <v>20517480</v>
      </c>
      <c r="J28" s="66">
        <v>25745407</v>
      </c>
      <c r="K28" s="66">
        <v>31497950</v>
      </c>
      <c r="L28" s="66">
        <v>34784391</v>
      </c>
      <c r="M28" s="66">
        <v>11163855</v>
      </c>
      <c r="N28" s="66">
        <v>169068177</v>
      </c>
      <c r="O28" s="66">
        <v>0</v>
      </c>
      <c r="P28" s="66">
        <v>0</v>
      </c>
      <c r="Q28" s="67">
        <f t="shared" si="29"/>
        <v>322853530</v>
      </c>
      <c r="S28" s="68">
        <f t="shared" si="18"/>
        <v>15038135</v>
      </c>
      <c r="T28" s="67">
        <f t="shared" si="18"/>
        <v>10258740</v>
      </c>
      <c r="U28" s="67">
        <f t="shared" si="19"/>
        <v>15447244.199999999</v>
      </c>
      <c r="V28" s="67">
        <f t="shared" si="20"/>
        <v>22048565</v>
      </c>
      <c r="W28" s="67">
        <f t="shared" si="21"/>
        <v>24349073.699999999</v>
      </c>
      <c r="X28" s="67">
        <f t="shared" si="22"/>
        <v>8372891.25</v>
      </c>
      <c r="Y28" s="67">
        <f t="shared" si="28"/>
        <v>11366944.042500002</v>
      </c>
      <c r="Z28" s="67">
        <f t="shared" si="23"/>
        <v>106881593.19250001</v>
      </c>
      <c r="AA28" s="62"/>
      <c r="AB28" s="67">
        <f t="shared" si="24"/>
        <v>15038135</v>
      </c>
      <c r="AC28" s="67">
        <f t="shared" si="24"/>
        <v>10258740</v>
      </c>
      <c r="AD28" s="67">
        <f t="shared" si="24"/>
        <v>15447244.199999999</v>
      </c>
      <c r="AE28" s="67">
        <f t="shared" si="24"/>
        <v>22048565</v>
      </c>
      <c r="AF28" s="67">
        <f t="shared" si="24"/>
        <v>24349073.699999999</v>
      </c>
      <c r="AG28" s="67">
        <f t="shared" si="24"/>
        <v>8372891.25</v>
      </c>
      <c r="AH28" s="67">
        <f t="shared" si="25"/>
        <v>3788981.3475000006</v>
      </c>
      <c r="AI28" s="67">
        <f t="shared" si="26"/>
        <v>3788981.3475000006</v>
      </c>
      <c r="AJ28" s="67">
        <f t="shared" si="26"/>
        <v>3788981.3475000006</v>
      </c>
      <c r="AK28" s="67"/>
      <c r="AL28" s="67"/>
      <c r="AM28" s="67"/>
      <c r="AN28" s="67">
        <f t="shared" si="27"/>
        <v>106881593.1925</v>
      </c>
    </row>
    <row r="29" spans="2:40" ht="12" outlineLevel="1" thickBot="1" x14ac:dyDescent="0.3">
      <c r="B29" s="75" t="s">
        <v>117</v>
      </c>
      <c r="C29" s="76"/>
      <c r="D29" s="76"/>
      <c r="E29" s="77">
        <f t="shared" ref="E29:Z29" si="30">SUBTOTAL(9,E20:E28)</f>
        <v>431</v>
      </c>
      <c r="F29" s="77">
        <f t="shared" si="30"/>
        <v>4404955.6500000004</v>
      </c>
      <c r="G29" s="77">
        <f t="shared" si="30"/>
        <v>39595089</v>
      </c>
      <c r="H29" s="77">
        <f t="shared" si="30"/>
        <v>44000044.649999999</v>
      </c>
      <c r="I29" s="77">
        <f t="shared" si="30"/>
        <v>25326995</v>
      </c>
      <c r="J29" s="77">
        <f t="shared" si="30"/>
        <v>27923296</v>
      </c>
      <c r="K29" s="77">
        <f t="shared" si="30"/>
        <v>31788050</v>
      </c>
      <c r="L29" s="77">
        <f t="shared" si="30"/>
        <v>40313762.539999999</v>
      </c>
      <c r="M29" s="77">
        <f t="shared" si="30"/>
        <v>14260920</v>
      </c>
      <c r="N29" s="77">
        <f t="shared" si="30"/>
        <v>239593616.59</v>
      </c>
      <c r="O29" s="77">
        <f t="shared" si="30"/>
        <v>0</v>
      </c>
      <c r="P29" s="77">
        <f t="shared" si="30"/>
        <v>0</v>
      </c>
      <c r="Q29" s="78">
        <f t="shared" si="30"/>
        <v>423206684.77999997</v>
      </c>
      <c r="S29" s="79">
        <f t="shared" si="30"/>
        <v>22000022.324999999</v>
      </c>
      <c r="T29" s="78">
        <f t="shared" si="30"/>
        <v>12663497.5</v>
      </c>
      <c r="U29" s="78">
        <f t="shared" si="30"/>
        <v>16753977.6</v>
      </c>
      <c r="V29" s="78">
        <f t="shared" si="30"/>
        <v>22251635</v>
      </c>
      <c r="W29" s="78">
        <f t="shared" si="30"/>
        <v>28219633.777999997</v>
      </c>
      <c r="X29" s="78">
        <f t="shared" si="30"/>
        <v>10695690</v>
      </c>
      <c r="Y29" s="78">
        <f t="shared" si="30"/>
        <v>15531111.428850003</v>
      </c>
      <c r="Z29" s="78">
        <f t="shared" si="30"/>
        <v>128115567.63185</v>
      </c>
      <c r="AA29" s="62"/>
      <c r="AB29" s="78">
        <f t="shared" ref="AB29:AN29" si="31">SUBTOTAL(9,AB20:AB28)</f>
        <v>22000022.324999999</v>
      </c>
      <c r="AC29" s="78">
        <f t="shared" si="31"/>
        <v>12663497.5</v>
      </c>
      <c r="AD29" s="78">
        <f t="shared" si="31"/>
        <v>16753977.6</v>
      </c>
      <c r="AE29" s="78">
        <f t="shared" si="31"/>
        <v>22251635</v>
      </c>
      <c r="AF29" s="78">
        <f t="shared" si="31"/>
        <v>28219633.777999997</v>
      </c>
      <c r="AG29" s="78">
        <f t="shared" si="31"/>
        <v>10695690</v>
      </c>
      <c r="AH29" s="78">
        <f t="shared" si="31"/>
        <v>5177037.1429500002</v>
      </c>
      <c r="AI29" s="78">
        <f t="shared" si="31"/>
        <v>5177037.1429500002</v>
      </c>
      <c r="AJ29" s="78">
        <f t="shared" si="31"/>
        <v>5177037.1429500002</v>
      </c>
      <c r="AK29" s="78">
        <f t="shared" si="31"/>
        <v>0</v>
      </c>
      <c r="AL29" s="78">
        <f t="shared" si="31"/>
        <v>0</v>
      </c>
      <c r="AM29" s="78">
        <f t="shared" si="31"/>
        <v>0</v>
      </c>
      <c r="AN29" s="78">
        <f t="shared" si="31"/>
        <v>128115567.63185</v>
      </c>
    </row>
    <row r="30" spans="2:40" outlineLevel="2" x14ac:dyDescent="0.25">
      <c r="B30" s="63" t="s">
        <v>118</v>
      </c>
      <c r="C30" s="64">
        <v>800251440</v>
      </c>
      <c r="D30" s="65" t="s">
        <v>119</v>
      </c>
      <c r="E30" s="66">
        <v>18</v>
      </c>
      <c r="F30" s="66">
        <v>1013443.27</v>
      </c>
      <c r="G30" s="66">
        <v>438633</v>
      </c>
      <c r="H30" s="66">
        <f t="shared" si="2"/>
        <v>1452076.27</v>
      </c>
      <c r="I30" s="66">
        <v>126342517</v>
      </c>
      <c r="J30" s="66">
        <v>91863468</v>
      </c>
      <c r="K30" s="66">
        <v>82359922</v>
      </c>
      <c r="L30" s="66">
        <v>82166845</v>
      </c>
      <c r="M30" s="66">
        <v>0</v>
      </c>
      <c r="N30" s="66">
        <v>168377741</v>
      </c>
      <c r="O30" s="66">
        <v>0</v>
      </c>
      <c r="P30" s="66">
        <v>0</v>
      </c>
      <c r="Q30" s="67">
        <f t="shared" si="29"/>
        <v>552562569.26999998</v>
      </c>
      <c r="S30" s="68">
        <f>+H30*90%</f>
        <v>1306868.6430000002</v>
      </c>
      <c r="T30" s="67">
        <f t="shared" ref="T30:Y32" si="32">+I30*90%</f>
        <v>113708265.3</v>
      </c>
      <c r="U30" s="67">
        <f t="shared" si="32"/>
        <v>82677121.200000003</v>
      </c>
      <c r="V30" s="67">
        <f t="shared" si="32"/>
        <v>74123929.799999997</v>
      </c>
      <c r="W30" s="67">
        <f t="shared" si="32"/>
        <v>73950160.5</v>
      </c>
      <c r="X30" s="67">
        <f t="shared" si="32"/>
        <v>0</v>
      </c>
      <c r="Y30" s="67">
        <f t="shared" si="32"/>
        <v>151539966.90000001</v>
      </c>
      <c r="Z30" s="67">
        <f t="shared" ref="Z30:Z32" si="33">+SUM(S30:Y30)</f>
        <v>497306312.34300005</v>
      </c>
      <c r="AA30" s="62"/>
      <c r="AB30" s="67">
        <f t="shared" ref="AB30:AG32" si="34">+S30</f>
        <v>1306868.6430000002</v>
      </c>
      <c r="AC30" s="67">
        <f t="shared" si="34"/>
        <v>113708265.3</v>
      </c>
      <c r="AD30" s="67">
        <f t="shared" si="34"/>
        <v>82677121.200000003</v>
      </c>
      <c r="AE30" s="67">
        <f t="shared" si="34"/>
        <v>74123929.799999997</v>
      </c>
      <c r="AF30" s="67">
        <f t="shared" si="34"/>
        <v>73950160.5</v>
      </c>
      <c r="AG30" s="67">
        <f t="shared" si="34"/>
        <v>0</v>
      </c>
      <c r="AH30" s="67">
        <f t="shared" ref="AH30:AH32" si="35">+Y30/3</f>
        <v>50513322.300000004</v>
      </c>
      <c r="AI30" s="67">
        <f t="shared" ref="AI30:AJ32" si="36">+AH30</f>
        <v>50513322.300000004</v>
      </c>
      <c r="AJ30" s="67">
        <f t="shared" si="36"/>
        <v>50513322.300000004</v>
      </c>
      <c r="AK30" s="67"/>
      <c r="AL30" s="67"/>
      <c r="AM30" s="67"/>
      <c r="AN30" s="67">
        <f t="shared" ref="AN30:AN32" si="37">+SUM(AB30:AM30)</f>
        <v>497306312.34300005</v>
      </c>
    </row>
    <row r="31" spans="2:40" outlineLevel="2" x14ac:dyDescent="0.25">
      <c r="B31" s="63" t="s">
        <v>118</v>
      </c>
      <c r="C31" s="64">
        <v>900226715</v>
      </c>
      <c r="D31" s="65" t="s">
        <v>120</v>
      </c>
      <c r="E31" s="66">
        <v>7</v>
      </c>
      <c r="F31" s="66">
        <v>0</v>
      </c>
      <c r="G31" s="66">
        <v>136195058</v>
      </c>
      <c r="H31" s="66">
        <f t="shared" si="2"/>
        <v>136195058</v>
      </c>
      <c r="I31" s="66">
        <v>0</v>
      </c>
      <c r="J31" s="66">
        <v>135975458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7">
        <f t="shared" si="29"/>
        <v>272170516</v>
      </c>
      <c r="S31" s="68">
        <f t="shared" ref="S31:S32" si="38">+H31*90%</f>
        <v>122575552.2</v>
      </c>
      <c r="T31" s="67">
        <f t="shared" si="32"/>
        <v>0</v>
      </c>
      <c r="U31" s="67">
        <f t="shared" si="32"/>
        <v>122377912.2</v>
      </c>
      <c r="V31" s="67">
        <f t="shared" si="32"/>
        <v>0</v>
      </c>
      <c r="W31" s="67">
        <f t="shared" si="32"/>
        <v>0</v>
      </c>
      <c r="X31" s="67">
        <f t="shared" si="32"/>
        <v>0</v>
      </c>
      <c r="Y31" s="67">
        <f t="shared" si="32"/>
        <v>0</v>
      </c>
      <c r="Z31" s="67">
        <f t="shared" si="33"/>
        <v>244953464.40000001</v>
      </c>
      <c r="AA31" s="62"/>
      <c r="AB31" s="67">
        <f t="shared" si="34"/>
        <v>122575552.2</v>
      </c>
      <c r="AC31" s="67">
        <f t="shared" si="34"/>
        <v>0</v>
      </c>
      <c r="AD31" s="67">
        <f t="shared" si="34"/>
        <v>122377912.2</v>
      </c>
      <c r="AE31" s="67">
        <f t="shared" si="34"/>
        <v>0</v>
      </c>
      <c r="AF31" s="67">
        <f t="shared" si="34"/>
        <v>0</v>
      </c>
      <c r="AG31" s="67">
        <f t="shared" si="34"/>
        <v>0</v>
      </c>
      <c r="AH31" s="67">
        <f t="shared" si="35"/>
        <v>0</v>
      </c>
      <c r="AI31" s="67">
        <f t="shared" si="36"/>
        <v>0</v>
      </c>
      <c r="AJ31" s="67">
        <f t="shared" si="36"/>
        <v>0</v>
      </c>
      <c r="AK31" s="67"/>
      <c r="AL31" s="67"/>
      <c r="AM31" s="67"/>
      <c r="AN31" s="67">
        <f t="shared" si="37"/>
        <v>244953464.40000001</v>
      </c>
    </row>
    <row r="32" spans="2:40" ht="12" outlineLevel="2" thickBot="1" x14ac:dyDescent="0.3">
      <c r="B32" s="63" t="s">
        <v>118</v>
      </c>
      <c r="C32" s="64">
        <v>65719317</v>
      </c>
      <c r="D32" s="65" t="s">
        <v>121</v>
      </c>
      <c r="E32" s="66">
        <v>0</v>
      </c>
      <c r="F32" s="66">
        <v>13300</v>
      </c>
      <c r="G32" s="66">
        <v>0</v>
      </c>
      <c r="H32" s="66">
        <f t="shared" si="2"/>
        <v>13300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7">
        <f>SUM(H32:P32)</f>
        <v>13300</v>
      </c>
      <c r="S32" s="68">
        <f t="shared" si="38"/>
        <v>11970</v>
      </c>
      <c r="T32" s="67">
        <f t="shared" si="32"/>
        <v>0</v>
      </c>
      <c r="U32" s="67">
        <f t="shared" si="32"/>
        <v>0</v>
      </c>
      <c r="V32" s="67">
        <f t="shared" si="32"/>
        <v>0</v>
      </c>
      <c r="W32" s="67">
        <f t="shared" si="32"/>
        <v>0</v>
      </c>
      <c r="X32" s="67">
        <f t="shared" si="32"/>
        <v>0</v>
      </c>
      <c r="Y32" s="67">
        <f t="shared" si="32"/>
        <v>0</v>
      </c>
      <c r="Z32" s="67">
        <f t="shared" si="33"/>
        <v>11970</v>
      </c>
      <c r="AA32" s="62"/>
      <c r="AB32" s="67">
        <f t="shared" si="34"/>
        <v>11970</v>
      </c>
      <c r="AC32" s="67">
        <f t="shared" si="34"/>
        <v>0</v>
      </c>
      <c r="AD32" s="67">
        <f t="shared" si="34"/>
        <v>0</v>
      </c>
      <c r="AE32" s="67">
        <f t="shared" si="34"/>
        <v>0</v>
      </c>
      <c r="AF32" s="67">
        <f t="shared" si="34"/>
        <v>0</v>
      </c>
      <c r="AG32" s="67">
        <f t="shared" si="34"/>
        <v>0</v>
      </c>
      <c r="AH32" s="67">
        <f t="shared" si="35"/>
        <v>0</v>
      </c>
      <c r="AI32" s="67">
        <f t="shared" si="36"/>
        <v>0</v>
      </c>
      <c r="AJ32" s="67">
        <f t="shared" si="36"/>
        <v>0</v>
      </c>
      <c r="AK32" s="67"/>
      <c r="AL32" s="67"/>
      <c r="AM32" s="67"/>
      <c r="AN32" s="67">
        <f t="shared" si="37"/>
        <v>11970</v>
      </c>
    </row>
    <row r="33" spans="2:40" ht="12" outlineLevel="1" thickBot="1" x14ac:dyDescent="0.3">
      <c r="B33" s="75" t="s">
        <v>122</v>
      </c>
      <c r="C33" s="76"/>
      <c r="D33" s="76"/>
      <c r="E33" s="77">
        <f t="shared" ref="E33:Z33" si="39">SUBTOTAL(9,E30:E32)</f>
        <v>25</v>
      </c>
      <c r="F33" s="77">
        <f t="shared" si="39"/>
        <v>1026743.27</v>
      </c>
      <c r="G33" s="77">
        <f t="shared" si="39"/>
        <v>136633691</v>
      </c>
      <c r="H33" s="77">
        <f t="shared" si="39"/>
        <v>137660434.27000001</v>
      </c>
      <c r="I33" s="77">
        <f t="shared" si="39"/>
        <v>126342517</v>
      </c>
      <c r="J33" s="77">
        <f t="shared" si="39"/>
        <v>227838926</v>
      </c>
      <c r="K33" s="77">
        <f t="shared" si="39"/>
        <v>82359922</v>
      </c>
      <c r="L33" s="77">
        <f t="shared" si="39"/>
        <v>82166845</v>
      </c>
      <c r="M33" s="77">
        <f t="shared" si="39"/>
        <v>0</v>
      </c>
      <c r="N33" s="77">
        <f t="shared" si="39"/>
        <v>168377741</v>
      </c>
      <c r="O33" s="77">
        <f t="shared" si="39"/>
        <v>0</v>
      </c>
      <c r="P33" s="77">
        <f t="shared" si="39"/>
        <v>0</v>
      </c>
      <c r="Q33" s="78">
        <f t="shared" si="39"/>
        <v>824746385.26999998</v>
      </c>
      <c r="S33" s="79">
        <f t="shared" si="39"/>
        <v>123894390.84300001</v>
      </c>
      <c r="T33" s="78">
        <f t="shared" si="39"/>
        <v>113708265.3</v>
      </c>
      <c r="U33" s="78">
        <f t="shared" si="39"/>
        <v>205055033.40000001</v>
      </c>
      <c r="V33" s="78">
        <f t="shared" si="39"/>
        <v>74123929.799999997</v>
      </c>
      <c r="W33" s="78">
        <f t="shared" si="39"/>
        <v>73950160.5</v>
      </c>
      <c r="X33" s="78">
        <f t="shared" si="39"/>
        <v>0</v>
      </c>
      <c r="Y33" s="78">
        <f t="shared" si="39"/>
        <v>151539966.90000001</v>
      </c>
      <c r="Z33" s="78">
        <f t="shared" si="39"/>
        <v>742271746.74300003</v>
      </c>
      <c r="AA33" s="62"/>
      <c r="AB33" s="78">
        <f t="shared" ref="AB33:AN33" si="40">SUBTOTAL(9,AB30:AB32)</f>
        <v>123894390.84300001</v>
      </c>
      <c r="AC33" s="78">
        <f t="shared" si="40"/>
        <v>113708265.3</v>
      </c>
      <c r="AD33" s="78">
        <f t="shared" si="40"/>
        <v>205055033.40000001</v>
      </c>
      <c r="AE33" s="78">
        <f t="shared" si="40"/>
        <v>74123929.799999997</v>
      </c>
      <c r="AF33" s="78">
        <f t="shared" si="40"/>
        <v>73950160.5</v>
      </c>
      <c r="AG33" s="78">
        <f t="shared" si="40"/>
        <v>0</v>
      </c>
      <c r="AH33" s="78">
        <f t="shared" si="40"/>
        <v>50513322.300000004</v>
      </c>
      <c r="AI33" s="78">
        <f t="shared" si="40"/>
        <v>50513322.300000004</v>
      </c>
      <c r="AJ33" s="78">
        <f t="shared" si="40"/>
        <v>50513322.300000004</v>
      </c>
      <c r="AK33" s="78">
        <f t="shared" si="40"/>
        <v>0</v>
      </c>
      <c r="AL33" s="78">
        <f t="shared" si="40"/>
        <v>0</v>
      </c>
      <c r="AM33" s="78">
        <f t="shared" si="40"/>
        <v>0</v>
      </c>
      <c r="AN33" s="78">
        <f t="shared" si="40"/>
        <v>742271746.74300003</v>
      </c>
    </row>
    <row r="34" spans="2:40" outlineLevel="2" x14ac:dyDescent="0.25">
      <c r="B34" s="63" t="s">
        <v>123</v>
      </c>
      <c r="C34" s="64">
        <v>800088702</v>
      </c>
      <c r="D34" s="65" t="s">
        <v>124</v>
      </c>
      <c r="E34" s="66">
        <v>2122</v>
      </c>
      <c r="F34" s="66">
        <v>77600187.329999998</v>
      </c>
      <c r="G34" s="66">
        <v>90382525</v>
      </c>
      <c r="H34" s="66">
        <f t="shared" si="2"/>
        <v>167982712.32999998</v>
      </c>
      <c r="I34" s="66">
        <v>173043106</v>
      </c>
      <c r="J34" s="66">
        <v>99518962</v>
      </c>
      <c r="K34" s="66">
        <v>143036742</v>
      </c>
      <c r="L34" s="66">
        <v>159704400</v>
      </c>
      <c r="M34" s="66">
        <v>498936842.53999996</v>
      </c>
      <c r="N34" s="66">
        <v>317591297.69999999</v>
      </c>
      <c r="O34" s="66">
        <v>0</v>
      </c>
      <c r="P34" s="86">
        <v>-237048222</v>
      </c>
      <c r="Q34" s="67">
        <f t="shared" ref="Q34:Q82" si="41">SUM(H34:P34)</f>
        <v>1322765840.5699999</v>
      </c>
      <c r="S34" s="68">
        <f t="shared" ref="S34:T61" si="42">+H34*50%</f>
        <v>83991356.164999992</v>
      </c>
      <c r="T34" s="67">
        <f t="shared" si="42"/>
        <v>86521553</v>
      </c>
      <c r="U34" s="67">
        <f t="shared" ref="U34:U61" si="43">+J34*60%</f>
        <v>59711377.199999996</v>
      </c>
      <c r="V34" s="67">
        <f t="shared" ref="V34:V61" si="44">+K34*70%</f>
        <v>100125719.39999999</v>
      </c>
      <c r="W34" s="67">
        <f t="shared" ref="W34:W61" si="45">+L34*0.7</f>
        <v>111793080</v>
      </c>
      <c r="X34" s="67">
        <f t="shared" ref="X34:X61" si="46">+M34*0.75</f>
        <v>374202631.90499997</v>
      </c>
      <c r="Y34" s="67">
        <f>(Q34-S34-T34-U34-V34-W34-X34)*10%</f>
        <v>50642012.289999999</v>
      </c>
      <c r="Z34" s="67">
        <f t="shared" ref="Z34:Z61" si="47">+SUM(S34:Y34)</f>
        <v>866987729.95999992</v>
      </c>
      <c r="AA34" s="62"/>
      <c r="AB34" s="67">
        <f t="shared" ref="AB34:AG61" si="48">+S34</f>
        <v>83991356.164999992</v>
      </c>
      <c r="AC34" s="67">
        <f t="shared" si="48"/>
        <v>86521553</v>
      </c>
      <c r="AD34" s="67">
        <f t="shared" si="48"/>
        <v>59711377.199999996</v>
      </c>
      <c r="AE34" s="67">
        <f t="shared" si="48"/>
        <v>100125719.39999999</v>
      </c>
      <c r="AF34" s="67">
        <f t="shared" si="48"/>
        <v>111793080</v>
      </c>
      <c r="AG34" s="67">
        <f t="shared" si="48"/>
        <v>374202631.90499997</v>
      </c>
      <c r="AH34" s="67">
        <f t="shared" ref="AH34:AH61" si="49">+Y34/3</f>
        <v>16880670.763333332</v>
      </c>
      <c r="AI34" s="67">
        <f t="shared" ref="AI34:AJ49" si="50">+AH34</f>
        <v>16880670.763333332</v>
      </c>
      <c r="AJ34" s="67">
        <f t="shared" si="50"/>
        <v>16880670.763333332</v>
      </c>
      <c r="AK34" s="67"/>
      <c r="AL34" s="67"/>
      <c r="AM34" s="67"/>
      <c r="AN34" s="67">
        <f t="shared" ref="AN34:AN61" si="51">+SUM(AB34:AM34)</f>
        <v>866987729.95999992</v>
      </c>
    </row>
    <row r="35" spans="2:40" outlineLevel="2" x14ac:dyDescent="0.25">
      <c r="B35" s="63" t="s">
        <v>123</v>
      </c>
      <c r="C35" s="64">
        <v>800112806</v>
      </c>
      <c r="D35" s="65" t="s">
        <v>125</v>
      </c>
      <c r="E35" s="66">
        <v>4</v>
      </c>
      <c r="F35" s="66">
        <v>0</v>
      </c>
      <c r="G35" s="66">
        <v>0</v>
      </c>
      <c r="H35" s="66">
        <f t="shared" si="2"/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3036774</v>
      </c>
      <c r="O35" s="66">
        <v>0</v>
      </c>
      <c r="P35" s="66">
        <v>0</v>
      </c>
      <c r="Q35" s="67">
        <f t="shared" si="41"/>
        <v>3036774</v>
      </c>
      <c r="S35" s="68">
        <f t="shared" si="42"/>
        <v>0</v>
      </c>
      <c r="T35" s="67">
        <f t="shared" si="42"/>
        <v>0</v>
      </c>
      <c r="U35" s="67">
        <f t="shared" si="43"/>
        <v>0</v>
      </c>
      <c r="V35" s="67">
        <f t="shared" si="44"/>
        <v>0</v>
      </c>
      <c r="W35" s="67">
        <f t="shared" si="45"/>
        <v>0</v>
      </c>
      <c r="X35" s="67">
        <f t="shared" si="46"/>
        <v>0</v>
      </c>
      <c r="Y35" s="67">
        <f t="shared" ref="Y35" si="52">(Q35-S35-T35-U35-V35-W35-X35)*50%</f>
        <v>1518387</v>
      </c>
      <c r="Z35" s="67">
        <f t="shared" si="47"/>
        <v>1518387</v>
      </c>
      <c r="AA35" s="62"/>
      <c r="AB35" s="67">
        <f t="shared" si="48"/>
        <v>0</v>
      </c>
      <c r="AC35" s="67">
        <f t="shared" si="48"/>
        <v>0</v>
      </c>
      <c r="AD35" s="67">
        <f t="shared" si="48"/>
        <v>0</v>
      </c>
      <c r="AE35" s="67">
        <f t="shared" si="48"/>
        <v>0</v>
      </c>
      <c r="AF35" s="67">
        <f t="shared" si="48"/>
        <v>0</v>
      </c>
      <c r="AG35" s="67">
        <f t="shared" si="48"/>
        <v>0</v>
      </c>
      <c r="AH35" s="67">
        <f t="shared" si="49"/>
        <v>506129</v>
      </c>
      <c r="AI35" s="67">
        <f t="shared" si="50"/>
        <v>506129</v>
      </c>
      <c r="AJ35" s="67">
        <f t="shared" si="50"/>
        <v>506129</v>
      </c>
      <c r="AK35" s="67"/>
      <c r="AL35" s="67"/>
      <c r="AM35" s="67"/>
      <c r="AN35" s="67">
        <f t="shared" si="51"/>
        <v>1518387</v>
      </c>
    </row>
    <row r="36" spans="2:40" outlineLevel="2" x14ac:dyDescent="0.25">
      <c r="B36" s="63" t="s">
        <v>123</v>
      </c>
      <c r="C36" s="64">
        <v>800130907</v>
      </c>
      <c r="D36" s="65" t="s">
        <v>126</v>
      </c>
      <c r="E36" s="66">
        <v>3655</v>
      </c>
      <c r="F36" s="66">
        <v>61909544.420000002</v>
      </c>
      <c r="G36" s="66">
        <v>674612788</v>
      </c>
      <c r="H36" s="66">
        <f t="shared" si="2"/>
        <v>736522332.41999996</v>
      </c>
      <c r="I36" s="66">
        <v>652784098</v>
      </c>
      <c r="J36" s="66">
        <v>212943745</v>
      </c>
      <c r="K36" s="66">
        <v>72236195</v>
      </c>
      <c r="L36" s="66">
        <v>215889220</v>
      </c>
      <c r="M36" s="66">
        <v>401937352.60000002</v>
      </c>
      <c r="N36" s="66">
        <v>191458766.56</v>
      </c>
      <c r="O36" s="66">
        <v>0</v>
      </c>
      <c r="P36" s="86">
        <v>-24803339</v>
      </c>
      <c r="Q36" s="67">
        <f t="shared" si="41"/>
        <v>2458968370.5799999</v>
      </c>
      <c r="S36" s="68">
        <f t="shared" si="42"/>
        <v>368261166.20999998</v>
      </c>
      <c r="T36" s="67">
        <f t="shared" si="42"/>
        <v>326392049</v>
      </c>
      <c r="U36" s="67">
        <f t="shared" si="43"/>
        <v>127766247</v>
      </c>
      <c r="V36" s="67">
        <f t="shared" si="44"/>
        <v>50565336.5</v>
      </c>
      <c r="W36" s="67">
        <f t="shared" si="45"/>
        <v>151122454</v>
      </c>
      <c r="X36" s="67">
        <f t="shared" si="46"/>
        <v>301453014.45000005</v>
      </c>
      <c r="Y36" s="67">
        <f>(Q36-S36-T36-U36-V36-W36-X36)*10%</f>
        <v>113340810.34199999</v>
      </c>
      <c r="Z36" s="67">
        <f t="shared" si="47"/>
        <v>1438901077.5020001</v>
      </c>
      <c r="AA36" s="62"/>
      <c r="AB36" s="67">
        <f t="shared" si="48"/>
        <v>368261166.20999998</v>
      </c>
      <c r="AC36" s="67">
        <f t="shared" si="48"/>
        <v>326392049</v>
      </c>
      <c r="AD36" s="67">
        <f t="shared" si="48"/>
        <v>127766247</v>
      </c>
      <c r="AE36" s="67">
        <f t="shared" si="48"/>
        <v>50565336.5</v>
      </c>
      <c r="AF36" s="67">
        <f t="shared" si="48"/>
        <v>151122454</v>
      </c>
      <c r="AG36" s="67">
        <f t="shared" si="48"/>
        <v>301453014.45000005</v>
      </c>
      <c r="AH36" s="67">
        <f t="shared" si="49"/>
        <v>37780270.114</v>
      </c>
      <c r="AI36" s="67">
        <f t="shared" si="50"/>
        <v>37780270.114</v>
      </c>
      <c r="AJ36" s="67">
        <f t="shared" si="50"/>
        <v>37780270.114</v>
      </c>
      <c r="AK36" s="67"/>
      <c r="AL36" s="67"/>
      <c r="AM36" s="67"/>
      <c r="AN36" s="67">
        <f t="shared" si="51"/>
        <v>1438901077.5020003</v>
      </c>
    </row>
    <row r="37" spans="2:40" outlineLevel="2" x14ac:dyDescent="0.25">
      <c r="B37" s="63" t="s">
        <v>123</v>
      </c>
      <c r="C37" s="64">
        <v>800249241</v>
      </c>
      <c r="D37" s="65" t="s">
        <v>127</v>
      </c>
      <c r="E37" s="66">
        <v>6</v>
      </c>
      <c r="F37" s="66">
        <v>0</v>
      </c>
      <c r="G37" s="66">
        <v>0</v>
      </c>
      <c r="H37" s="66">
        <f t="shared" si="2"/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4458514</v>
      </c>
      <c r="O37" s="66">
        <v>0</v>
      </c>
      <c r="P37" s="66">
        <v>0</v>
      </c>
      <c r="Q37" s="67">
        <f t="shared" si="41"/>
        <v>4458514</v>
      </c>
      <c r="S37" s="68">
        <f t="shared" si="42"/>
        <v>0</v>
      </c>
      <c r="T37" s="67">
        <f t="shared" si="42"/>
        <v>0</v>
      </c>
      <c r="U37" s="67">
        <f t="shared" si="43"/>
        <v>0</v>
      </c>
      <c r="V37" s="67">
        <f t="shared" si="44"/>
        <v>0</v>
      </c>
      <c r="W37" s="67">
        <f t="shared" si="45"/>
        <v>0</v>
      </c>
      <c r="X37" s="67">
        <f t="shared" si="46"/>
        <v>0</v>
      </c>
      <c r="Y37" s="67">
        <f t="shared" ref="Y37:Y61" si="53">(Q37-S37-T37-U37-V37-W37-X37)*10%</f>
        <v>445851.4</v>
      </c>
      <c r="Z37" s="67">
        <f t="shared" si="47"/>
        <v>445851.4</v>
      </c>
      <c r="AA37" s="62"/>
      <c r="AB37" s="67">
        <f t="shared" si="48"/>
        <v>0</v>
      </c>
      <c r="AC37" s="67">
        <f t="shared" si="48"/>
        <v>0</v>
      </c>
      <c r="AD37" s="67">
        <f t="shared" si="48"/>
        <v>0</v>
      </c>
      <c r="AE37" s="67">
        <f t="shared" si="48"/>
        <v>0</v>
      </c>
      <c r="AF37" s="67">
        <f t="shared" si="48"/>
        <v>0</v>
      </c>
      <c r="AG37" s="67">
        <f t="shared" si="48"/>
        <v>0</v>
      </c>
      <c r="AH37" s="67">
        <f t="shared" si="49"/>
        <v>148617.13333333333</v>
      </c>
      <c r="AI37" s="67">
        <f t="shared" si="50"/>
        <v>148617.13333333333</v>
      </c>
      <c r="AJ37" s="67">
        <f t="shared" si="50"/>
        <v>148617.13333333333</v>
      </c>
      <c r="AK37" s="67"/>
      <c r="AL37" s="67"/>
      <c r="AM37" s="67"/>
      <c r="AN37" s="67">
        <f t="shared" si="51"/>
        <v>445851.4</v>
      </c>
    </row>
    <row r="38" spans="2:40" outlineLevel="2" x14ac:dyDescent="0.25">
      <c r="B38" s="63" t="s">
        <v>123</v>
      </c>
      <c r="C38" s="64">
        <v>800251440</v>
      </c>
      <c r="D38" s="65" t="s">
        <v>119</v>
      </c>
      <c r="E38" s="66">
        <v>2644</v>
      </c>
      <c r="F38" s="66">
        <v>95279773.370000005</v>
      </c>
      <c r="G38" s="66">
        <v>264942554</v>
      </c>
      <c r="H38" s="66">
        <f t="shared" si="2"/>
        <v>360222327.37</v>
      </c>
      <c r="I38" s="66">
        <v>340337852</v>
      </c>
      <c r="J38" s="66">
        <v>558419140</v>
      </c>
      <c r="K38" s="66">
        <v>391927436</v>
      </c>
      <c r="L38" s="66">
        <v>516811655</v>
      </c>
      <c r="M38" s="66">
        <v>23762530.350000001</v>
      </c>
      <c r="N38" s="66">
        <v>464418</v>
      </c>
      <c r="O38" s="66">
        <v>0</v>
      </c>
      <c r="P38" s="86">
        <v>-552026735</v>
      </c>
      <c r="Q38" s="67">
        <f t="shared" si="41"/>
        <v>1639918623.7199998</v>
      </c>
      <c r="S38" s="68">
        <f t="shared" si="42"/>
        <v>180111163.685</v>
      </c>
      <c r="T38" s="67">
        <f t="shared" si="42"/>
        <v>170168926</v>
      </c>
      <c r="U38" s="67">
        <f t="shared" si="43"/>
        <v>335051484</v>
      </c>
      <c r="V38" s="67">
        <f t="shared" si="44"/>
        <v>274349205.19999999</v>
      </c>
      <c r="W38" s="67">
        <f t="shared" si="45"/>
        <v>361768158.5</v>
      </c>
      <c r="X38" s="67">
        <f t="shared" si="46"/>
        <v>17821897.762500003</v>
      </c>
      <c r="Y38" s="67">
        <f t="shared" si="53"/>
        <v>30064778.857249983</v>
      </c>
      <c r="Z38" s="67">
        <f t="shared" si="47"/>
        <v>1369335614.00475</v>
      </c>
      <c r="AA38" s="62"/>
      <c r="AB38" s="67">
        <f t="shared" si="48"/>
        <v>180111163.685</v>
      </c>
      <c r="AC38" s="67">
        <f t="shared" si="48"/>
        <v>170168926</v>
      </c>
      <c r="AD38" s="67">
        <f t="shared" si="48"/>
        <v>335051484</v>
      </c>
      <c r="AE38" s="67">
        <f t="shared" si="48"/>
        <v>274349205.19999999</v>
      </c>
      <c r="AF38" s="67">
        <f t="shared" si="48"/>
        <v>361768158.5</v>
      </c>
      <c r="AG38" s="67">
        <f t="shared" si="48"/>
        <v>17821897.762500003</v>
      </c>
      <c r="AH38" s="67">
        <f t="shared" si="49"/>
        <v>10021592.95241666</v>
      </c>
      <c r="AI38" s="67">
        <f t="shared" si="50"/>
        <v>10021592.95241666</v>
      </c>
      <c r="AJ38" s="67">
        <f t="shared" si="50"/>
        <v>10021592.95241666</v>
      </c>
      <c r="AK38" s="67"/>
      <c r="AL38" s="67"/>
      <c r="AM38" s="67"/>
      <c r="AN38" s="67">
        <f t="shared" si="51"/>
        <v>1369335614.00475</v>
      </c>
    </row>
    <row r="39" spans="2:40" outlineLevel="2" x14ac:dyDescent="0.25">
      <c r="B39" s="63" t="s">
        <v>123</v>
      </c>
      <c r="C39" s="64">
        <v>805001157</v>
      </c>
      <c r="D39" s="65" t="s">
        <v>128</v>
      </c>
      <c r="E39" s="66">
        <v>15</v>
      </c>
      <c r="F39" s="66">
        <v>0</v>
      </c>
      <c r="G39" s="66">
        <v>85400</v>
      </c>
      <c r="H39" s="66">
        <f t="shared" si="2"/>
        <v>85400</v>
      </c>
      <c r="I39" s="66">
        <v>0</v>
      </c>
      <c r="J39" s="66">
        <v>0</v>
      </c>
      <c r="K39" s="66">
        <v>0</v>
      </c>
      <c r="L39" s="66">
        <v>32858666</v>
      </c>
      <c r="M39" s="66">
        <v>4389834</v>
      </c>
      <c r="N39" s="66">
        <v>31055978</v>
      </c>
      <c r="O39" s="66">
        <v>0</v>
      </c>
      <c r="P39" s="66">
        <v>0</v>
      </c>
      <c r="Q39" s="67">
        <f t="shared" si="41"/>
        <v>68389878</v>
      </c>
      <c r="S39" s="68">
        <f t="shared" si="42"/>
        <v>42700</v>
      </c>
      <c r="T39" s="67">
        <f t="shared" si="42"/>
        <v>0</v>
      </c>
      <c r="U39" s="67">
        <f t="shared" si="43"/>
        <v>0</v>
      </c>
      <c r="V39" s="67">
        <f t="shared" si="44"/>
        <v>0</v>
      </c>
      <c r="W39" s="67">
        <f t="shared" si="45"/>
        <v>23001066.199999999</v>
      </c>
      <c r="X39" s="67">
        <f t="shared" si="46"/>
        <v>3292375.5</v>
      </c>
      <c r="Y39" s="67">
        <f t="shared" si="53"/>
        <v>4205373.63</v>
      </c>
      <c r="Z39" s="67">
        <f t="shared" si="47"/>
        <v>30541515.329999998</v>
      </c>
      <c r="AA39" s="62"/>
      <c r="AB39" s="67">
        <f t="shared" si="48"/>
        <v>42700</v>
      </c>
      <c r="AC39" s="67">
        <f t="shared" si="48"/>
        <v>0</v>
      </c>
      <c r="AD39" s="67">
        <f t="shared" si="48"/>
        <v>0</v>
      </c>
      <c r="AE39" s="67">
        <f t="shared" si="48"/>
        <v>0</v>
      </c>
      <c r="AF39" s="67">
        <f t="shared" si="48"/>
        <v>23001066.199999999</v>
      </c>
      <c r="AG39" s="67">
        <f t="shared" si="48"/>
        <v>3292375.5</v>
      </c>
      <c r="AH39" s="67">
        <f t="shared" si="49"/>
        <v>1401791.21</v>
      </c>
      <c r="AI39" s="67">
        <f t="shared" si="50"/>
        <v>1401791.21</v>
      </c>
      <c r="AJ39" s="67">
        <f t="shared" si="50"/>
        <v>1401791.21</v>
      </c>
      <c r="AK39" s="67"/>
      <c r="AL39" s="67"/>
      <c r="AM39" s="67"/>
      <c r="AN39" s="67">
        <f t="shared" si="51"/>
        <v>30541515.330000002</v>
      </c>
    </row>
    <row r="40" spans="2:40" outlineLevel="2" x14ac:dyDescent="0.25">
      <c r="B40" s="63" t="s">
        <v>123</v>
      </c>
      <c r="C40" s="64">
        <v>806008394</v>
      </c>
      <c r="D40" s="65" t="s">
        <v>129</v>
      </c>
      <c r="E40" s="66">
        <v>221</v>
      </c>
      <c r="F40" s="66">
        <v>0</v>
      </c>
      <c r="G40" s="66">
        <v>69943159</v>
      </c>
      <c r="H40" s="66">
        <f t="shared" si="2"/>
        <v>69943159</v>
      </c>
      <c r="I40" s="66">
        <v>66679236</v>
      </c>
      <c r="J40" s="66">
        <v>486100</v>
      </c>
      <c r="K40" s="66">
        <v>57856442</v>
      </c>
      <c r="L40" s="66">
        <v>9467041</v>
      </c>
      <c r="M40" s="66">
        <v>20908857</v>
      </c>
      <c r="N40" s="66">
        <v>525341</v>
      </c>
      <c r="O40" s="66">
        <v>0</v>
      </c>
      <c r="P40" s="86">
        <v>-3802989</v>
      </c>
      <c r="Q40" s="67">
        <f t="shared" si="41"/>
        <v>222063187</v>
      </c>
      <c r="S40" s="68">
        <f t="shared" si="42"/>
        <v>34971579.5</v>
      </c>
      <c r="T40" s="67">
        <f t="shared" si="42"/>
        <v>33339618</v>
      </c>
      <c r="U40" s="67">
        <f t="shared" si="43"/>
        <v>291660</v>
      </c>
      <c r="V40" s="67">
        <f t="shared" si="44"/>
        <v>40499509.399999999</v>
      </c>
      <c r="W40" s="67">
        <f t="shared" si="45"/>
        <v>6626928.6999999993</v>
      </c>
      <c r="X40" s="67">
        <f t="shared" si="46"/>
        <v>15681642.75</v>
      </c>
      <c r="Y40" s="67">
        <f t="shared" si="53"/>
        <v>9065224.8650000002</v>
      </c>
      <c r="Z40" s="67">
        <f t="shared" si="47"/>
        <v>140476163.215</v>
      </c>
      <c r="AA40" s="62"/>
      <c r="AB40" s="67">
        <f t="shared" si="48"/>
        <v>34971579.5</v>
      </c>
      <c r="AC40" s="67">
        <f t="shared" si="48"/>
        <v>33339618</v>
      </c>
      <c r="AD40" s="67">
        <f t="shared" si="48"/>
        <v>291660</v>
      </c>
      <c r="AE40" s="67">
        <f t="shared" si="48"/>
        <v>40499509.399999999</v>
      </c>
      <c r="AF40" s="67">
        <f t="shared" si="48"/>
        <v>6626928.6999999993</v>
      </c>
      <c r="AG40" s="67">
        <f t="shared" si="48"/>
        <v>15681642.75</v>
      </c>
      <c r="AH40" s="67">
        <f t="shared" si="49"/>
        <v>3021741.6216666666</v>
      </c>
      <c r="AI40" s="67">
        <f t="shared" si="50"/>
        <v>3021741.6216666666</v>
      </c>
      <c r="AJ40" s="67">
        <f t="shared" si="50"/>
        <v>3021741.6216666666</v>
      </c>
      <c r="AK40" s="67"/>
      <c r="AL40" s="67"/>
      <c r="AM40" s="67"/>
      <c r="AN40" s="67">
        <f t="shared" si="51"/>
        <v>140476163.215</v>
      </c>
    </row>
    <row r="41" spans="2:40" outlineLevel="2" x14ac:dyDescent="0.25">
      <c r="B41" s="63" t="s">
        <v>123</v>
      </c>
      <c r="C41" s="64">
        <v>809008362</v>
      </c>
      <c r="D41" s="65" t="s">
        <v>130</v>
      </c>
      <c r="E41" s="66">
        <v>30</v>
      </c>
      <c r="F41" s="66">
        <v>0</v>
      </c>
      <c r="G41" s="66">
        <v>3362700</v>
      </c>
      <c r="H41" s="66">
        <f t="shared" si="2"/>
        <v>3362700</v>
      </c>
      <c r="I41" s="66">
        <v>254400</v>
      </c>
      <c r="J41" s="66">
        <v>64400</v>
      </c>
      <c r="K41" s="66">
        <v>197600</v>
      </c>
      <c r="L41" s="66">
        <v>3167147</v>
      </c>
      <c r="M41" s="66">
        <v>375779</v>
      </c>
      <c r="N41" s="66">
        <v>3469221</v>
      </c>
      <c r="O41" s="66">
        <v>0</v>
      </c>
      <c r="P41" s="66">
        <v>0</v>
      </c>
      <c r="Q41" s="67">
        <f t="shared" si="41"/>
        <v>10891247</v>
      </c>
      <c r="S41" s="68">
        <f t="shared" si="42"/>
        <v>1681350</v>
      </c>
      <c r="T41" s="67">
        <f t="shared" si="42"/>
        <v>127200</v>
      </c>
      <c r="U41" s="67">
        <f t="shared" si="43"/>
        <v>38640</v>
      </c>
      <c r="V41" s="67">
        <f t="shared" si="44"/>
        <v>138320</v>
      </c>
      <c r="W41" s="67">
        <f t="shared" si="45"/>
        <v>2217002.9</v>
      </c>
      <c r="X41" s="67">
        <f t="shared" si="46"/>
        <v>281834.25</v>
      </c>
      <c r="Y41" s="67">
        <f t="shared" si="53"/>
        <v>640689.98499999999</v>
      </c>
      <c r="Z41" s="67">
        <f t="shared" si="47"/>
        <v>5125037.1350000007</v>
      </c>
      <c r="AA41" s="62"/>
      <c r="AB41" s="67">
        <f t="shared" si="48"/>
        <v>1681350</v>
      </c>
      <c r="AC41" s="67">
        <f t="shared" si="48"/>
        <v>127200</v>
      </c>
      <c r="AD41" s="67">
        <f t="shared" si="48"/>
        <v>38640</v>
      </c>
      <c r="AE41" s="67">
        <f t="shared" si="48"/>
        <v>138320</v>
      </c>
      <c r="AF41" s="67">
        <f t="shared" si="48"/>
        <v>2217002.9</v>
      </c>
      <c r="AG41" s="67">
        <f t="shared" si="48"/>
        <v>281834.25</v>
      </c>
      <c r="AH41" s="67">
        <f t="shared" si="49"/>
        <v>213563.32833333334</v>
      </c>
      <c r="AI41" s="67">
        <f t="shared" si="50"/>
        <v>213563.32833333334</v>
      </c>
      <c r="AJ41" s="67">
        <f t="shared" si="50"/>
        <v>213563.32833333334</v>
      </c>
      <c r="AK41" s="67"/>
      <c r="AL41" s="67"/>
      <c r="AM41" s="67"/>
      <c r="AN41" s="67">
        <f t="shared" si="51"/>
        <v>5125037.1349999998</v>
      </c>
    </row>
    <row r="42" spans="2:40" outlineLevel="2" x14ac:dyDescent="0.25">
      <c r="B42" s="63" t="s">
        <v>123</v>
      </c>
      <c r="C42" s="64">
        <v>817000248</v>
      </c>
      <c r="D42" s="65" t="s">
        <v>131</v>
      </c>
      <c r="E42" s="66">
        <v>15</v>
      </c>
      <c r="F42" s="66">
        <v>0</v>
      </c>
      <c r="G42" s="66">
        <v>0</v>
      </c>
      <c r="H42" s="66">
        <f t="shared" si="2"/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18151020</v>
      </c>
      <c r="O42" s="66">
        <v>0</v>
      </c>
      <c r="P42" s="66">
        <v>0</v>
      </c>
      <c r="Q42" s="67">
        <f t="shared" si="41"/>
        <v>18151020</v>
      </c>
      <c r="S42" s="68">
        <f t="shared" si="42"/>
        <v>0</v>
      </c>
      <c r="T42" s="67">
        <f t="shared" si="42"/>
        <v>0</v>
      </c>
      <c r="U42" s="67">
        <f t="shared" si="43"/>
        <v>0</v>
      </c>
      <c r="V42" s="67">
        <f t="shared" si="44"/>
        <v>0</v>
      </c>
      <c r="W42" s="67">
        <f t="shared" si="45"/>
        <v>0</v>
      </c>
      <c r="X42" s="67">
        <f t="shared" si="46"/>
        <v>0</v>
      </c>
      <c r="Y42" s="67">
        <f t="shared" si="53"/>
        <v>1815102</v>
      </c>
      <c r="Z42" s="67">
        <f t="shared" si="47"/>
        <v>1815102</v>
      </c>
      <c r="AA42" s="62"/>
      <c r="AB42" s="67">
        <f t="shared" si="48"/>
        <v>0</v>
      </c>
      <c r="AC42" s="67">
        <f t="shared" si="48"/>
        <v>0</v>
      </c>
      <c r="AD42" s="67">
        <f t="shared" si="48"/>
        <v>0</v>
      </c>
      <c r="AE42" s="67">
        <f t="shared" si="48"/>
        <v>0</v>
      </c>
      <c r="AF42" s="67">
        <f t="shared" si="48"/>
        <v>0</v>
      </c>
      <c r="AG42" s="67">
        <f t="shared" si="48"/>
        <v>0</v>
      </c>
      <c r="AH42" s="67">
        <f t="shared" si="49"/>
        <v>605034</v>
      </c>
      <c r="AI42" s="67">
        <f t="shared" si="50"/>
        <v>605034</v>
      </c>
      <c r="AJ42" s="67">
        <f t="shared" si="50"/>
        <v>605034</v>
      </c>
      <c r="AK42" s="67"/>
      <c r="AL42" s="67"/>
      <c r="AM42" s="67"/>
      <c r="AN42" s="67">
        <f t="shared" si="51"/>
        <v>1815102</v>
      </c>
    </row>
    <row r="43" spans="2:40" outlineLevel="2" x14ac:dyDescent="0.25">
      <c r="B43" s="63" t="s">
        <v>123</v>
      </c>
      <c r="C43" s="64">
        <v>830003564</v>
      </c>
      <c r="D43" s="65" t="s">
        <v>132</v>
      </c>
      <c r="E43" s="66">
        <v>13193</v>
      </c>
      <c r="F43" s="66">
        <v>335592303.08999997</v>
      </c>
      <c r="G43" s="66">
        <v>1282303341</v>
      </c>
      <c r="H43" s="66">
        <f t="shared" si="2"/>
        <v>1617895644.0899999</v>
      </c>
      <c r="I43" s="66">
        <v>868295973</v>
      </c>
      <c r="J43" s="66">
        <v>1154608141</v>
      </c>
      <c r="K43" s="66">
        <v>1309453110</v>
      </c>
      <c r="L43" s="66">
        <v>2191106236</v>
      </c>
      <c r="M43" s="66">
        <v>496927533.36000001</v>
      </c>
      <c r="N43" s="66">
        <v>1151434395.6599998</v>
      </c>
      <c r="O43" s="66">
        <v>0</v>
      </c>
      <c r="P43" s="86">
        <v>-8685982</v>
      </c>
      <c r="Q43" s="67">
        <f t="shared" si="41"/>
        <v>8781035051.1100006</v>
      </c>
      <c r="S43" s="68">
        <f t="shared" si="42"/>
        <v>808947822.04499996</v>
      </c>
      <c r="T43" s="67">
        <f t="shared" si="42"/>
        <v>434147986.5</v>
      </c>
      <c r="U43" s="67">
        <f t="shared" si="43"/>
        <v>692764884.60000002</v>
      </c>
      <c r="V43" s="67">
        <f t="shared" si="44"/>
        <v>916617177</v>
      </c>
      <c r="W43" s="67">
        <f t="shared" si="45"/>
        <v>1533774365.1999998</v>
      </c>
      <c r="X43" s="67">
        <f t="shared" si="46"/>
        <v>372695650.01999998</v>
      </c>
      <c r="Y43" s="67">
        <f t="shared" si="53"/>
        <v>402208716.57450008</v>
      </c>
      <c r="Z43" s="67">
        <f t="shared" si="47"/>
        <v>5161156601.9394999</v>
      </c>
      <c r="AA43" s="62"/>
      <c r="AB43" s="67">
        <f>+Z43-AC43-AD43-AE43-AF43-AG43-AH43-AI43-AJ43</f>
        <v>2608978364.2449994</v>
      </c>
      <c r="AC43" s="67">
        <f t="shared" si="48"/>
        <v>434147986.5</v>
      </c>
      <c r="AD43" s="67">
        <f t="shared" si="48"/>
        <v>692764884.60000002</v>
      </c>
      <c r="AE43" s="67">
        <v>116617000</v>
      </c>
      <c r="AF43" s="67">
        <v>533744000</v>
      </c>
      <c r="AG43" s="67">
        <f t="shared" si="48"/>
        <v>372695650.01999998</v>
      </c>
      <c r="AH43" s="67">
        <f t="shared" si="49"/>
        <v>134069572.19150002</v>
      </c>
      <c r="AI43" s="67">
        <f t="shared" si="50"/>
        <v>134069572.19150002</v>
      </c>
      <c r="AJ43" s="67">
        <f t="shared" si="50"/>
        <v>134069572.19150002</v>
      </c>
      <c r="AK43" s="67"/>
      <c r="AL43" s="67"/>
      <c r="AM43" s="67"/>
      <c r="AN43" s="67">
        <f t="shared" si="51"/>
        <v>5161156601.9394989</v>
      </c>
    </row>
    <row r="44" spans="2:40" outlineLevel="2" x14ac:dyDescent="0.25">
      <c r="B44" s="63" t="s">
        <v>123</v>
      </c>
      <c r="C44" s="64">
        <v>830028288</v>
      </c>
      <c r="D44" s="65" t="s">
        <v>133</v>
      </c>
      <c r="E44" s="66">
        <v>1</v>
      </c>
      <c r="F44" s="66">
        <v>0</v>
      </c>
      <c r="G44" s="66">
        <v>0</v>
      </c>
      <c r="H44" s="66">
        <f t="shared" si="2"/>
        <v>0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769026</v>
      </c>
      <c r="O44" s="66">
        <v>0</v>
      </c>
      <c r="P44" s="66">
        <v>0</v>
      </c>
      <c r="Q44" s="67">
        <f t="shared" si="41"/>
        <v>769026</v>
      </c>
      <c r="S44" s="68">
        <f t="shared" si="42"/>
        <v>0</v>
      </c>
      <c r="T44" s="67">
        <f t="shared" si="42"/>
        <v>0</v>
      </c>
      <c r="U44" s="67">
        <f t="shared" si="43"/>
        <v>0</v>
      </c>
      <c r="V44" s="67">
        <f t="shared" si="44"/>
        <v>0</v>
      </c>
      <c r="W44" s="67">
        <f t="shared" si="45"/>
        <v>0</v>
      </c>
      <c r="X44" s="67">
        <f t="shared" si="46"/>
        <v>0</v>
      </c>
      <c r="Y44" s="67">
        <f t="shared" si="53"/>
        <v>76902.600000000006</v>
      </c>
      <c r="Z44" s="67">
        <f t="shared" si="47"/>
        <v>76902.600000000006</v>
      </c>
      <c r="AA44" s="62"/>
      <c r="AB44" s="67">
        <f t="shared" si="48"/>
        <v>0</v>
      </c>
      <c r="AC44" s="67">
        <f t="shared" si="48"/>
        <v>0</v>
      </c>
      <c r="AD44" s="67">
        <f t="shared" si="48"/>
        <v>0</v>
      </c>
      <c r="AE44" s="67">
        <f t="shared" si="48"/>
        <v>0</v>
      </c>
      <c r="AF44" s="67">
        <f t="shared" si="48"/>
        <v>0</v>
      </c>
      <c r="AG44" s="67">
        <f t="shared" si="48"/>
        <v>0</v>
      </c>
      <c r="AH44" s="67">
        <f t="shared" si="49"/>
        <v>25634.2</v>
      </c>
      <c r="AI44" s="67">
        <f t="shared" si="50"/>
        <v>25634.2</v>
      </c>
      <c r="AJ44" s="67">
        <f t="shared" si="50"/>
        <v>25634.2</v>
      </c>
      <c r="AK44" s="67"/>
      <c r="AL44" s="67"/>
      <c r="AM44" s="67"/>
      <c r="AN44" s="67">
        <f t="shared" si="51"/>
        <v>76902.600000000006</v>
      </c>
    </row>
    <row r="45" spans="2:40" outlineLevel="2" x14ac:dyDescent="0.25">
      <c r="B45" s="63" t="s">
        <v>123</v>
      </c>
      <c r="C45" s="64">
        <v>830113831</v>
      </c>
      <c r="D45" s="65" t="s">
        <v>134</v>
      </c>
      <c r="E45" s="66">
        <v>235</v>
      </c>
      <c r="F45" s="66">
        <v>255086.56</v>
      </c>
      <c r="G45" s="66">
        <v>11186143</v>
      </c>
      <c r="H45" s="66">
        <f t="shared" si="2"/>
        <v>11441229.560000001</v>
      </c>
      <c r="I45" s="66">
        <v>55669561</v>
      </c>
      <c r="J45" s="66">
        <v>33161913</v>
      </c>
      <c r="K45" s="66">
        <v>894181</v>
      </c>
      <c r="L45" s="66">
        <v>18172380</v>
      </c>
      <c r="M45" s="66">
        <v>39811611</v>
      </c>
      <c r="N45" s="66">
        <v>37175528</v>
      </c>
      <c r="O45" s="66">
        <v>0</v>
      </c>
      <c r="P45" s="86">
        <v>-348500</v>
      </c>
      <c r="Q45" s="67">
        <f t="shared" si="41"/>
        <v>195977903.56</v>
      </c>
      <c r="S45" s="68">
        <f t="shared" si="42"/>
        <v>5720614.7800000003</v>
      </c>
      <c r="T45" s="67">
        <f t="shared" si="42"/>
        <v>27834780.5</v>
      </c>
      <c r="U45" s="67">
        <f t="shared" si="43"/>
        <v>19897147.800000001</v>
      </c>
      <c r="V45" s="67">
        <f t="shared" si="44"/>
        <v>625926.69999999995</v>
      </c>
      <c r="W45" s="67">
        <f t="shared" si="45"/>
        <v>12720666</v>
      </c>
      <c r="X45" s="67">
        <f t="shared" si="46"/>
        <v>29858708.25</v>
      </c>
      <c r="Y45" s="67">
        <f t="shared" si="53"/>
        <v>9932005.9529999997</v>
      </c>
      <c r="Z45" s="67">
        <f t="shared" si="47"/>
        <v>106589849.983</v>
      </c>
      <c r="AA45" s="62"/>
      <c r="AB45" s="67">
        <f t="shared" si="48"/>
        <v>5720614.7800000003</v>
      </c>
      <c r="AC45" s="67">
        <f t="shared" si="48"/>
        <v>27834780.5</v>
      </c>
      <c r="AD45" s="67">
        <f t="shared" si="48"/>
        <v>19897147.800000001</v>
      </c>
      <c r="AE45" s="67">
        <f t="shared" si="48"/>
        <v>625926.69999999995</v>
      </c>
      <c r="AF45" s="67">
        <f t="shared" si="48"/>
        <v>12720666</v>
      </c>
      <c r="AG45" s="67">
        <f t="shared" si="48"/>
        <v>29858708.25</v>
      </c>
      <c r="AH45" s="67">
        <f t="shared" si="49"/>
        <v>3310668.6510000001</v>
      </c>
      <c r="AI45" s="67">
        <f t="shared" si="50"/>
        <v>3310668.6510000001</v>
      </c>
      <c r="AJ45" s="67">
        <f t="shared" si="50"/>
        <v>3310668.6510000001</v>
      </c>
      <c r="AK45" s="67"/>
      <c r="AL45" s="67"/>
      <c r="AM45" s="67"/>
      <c r="AN45" s="67">
        <f t="shared" si="51"/>
        <v>106589849.98299998</v>
      </c>
    </row>
    <row r="46" spans="2:40" outlineLevel="2" x14ac:dyDescent="0.25">
      <c r="B46" s="63" t="s">
        <v>123</v>
      </c>
      <c r="C46" s="64">
        <v>837000084</v>
      </c>
      <c r="D46" s="65" t="s">
        <v>135</v>
      </c>
      <c r="E46" s="66">
        <v>23</v>
      </c>
      <c r="F46" s="66">
        <v>0</v>
      </c>
      <c r="G46" s="66">
        <v>43300</v>
      </c>
      <c r="H46" s="66">
        <f t="shared" si="2"/>
        <v>43300</v>
      </c>
      <c r="I46" s="66">
        <v>1033500</v>
      </c>
      <c r="J46" s="66">
        <v>1194300</v>
      </c>
      <c r="K46" s="66">
        <v>43300</v>
      </c>
      <c r="L46" s="66">
        <v>12981</v>
      </c>
      <c r="M46" s="66">
        <v>68312</v>
      </c>
      <c r="N46" s="66">
        <v>157382</v>
      </c>
      <c r="O46" s="66">
        <v>0</v>
      </c>
      <c r="P46" s="66">
        <v>0</v>
      </c>
      <c r="Q46" s="67">
        <f t="shared" si="41"/>
        <v>2553075</v>
      </c>
      <c r="S46" s="68">
        <f t="shared" si="42"/>
        <v>21650</v>
      </c>
      <c r="T46" s="67">
        <f t="shared" si="42"/>
        <v>516750</v>
      </c>
      <c r="U46" s="67">
        <f t="shared" si="43"/>
        <v>716580</v>
      </c>
      <c r="V46" s="67">
        <f t="shared" si="44"/>
        <v>30309.999999999996</v>
      </c>
      <c r="W46" s="67">
        <f t="shared" si="45"/>
        <v>9086.6999999999989</v>
      </c>
      <c r="X46" s="67">
        <f t="shared" si="46"/>
        <v>51234</v>
      </c>
      <c r="Y46" s="67">
        <f t="shared" si="53"/>
        <v>120746.43000000001</v>
      </c>
      <c r="Z46" s="67">
        <f t="shared" si="47"/>
        <v>1466357.13</v>
      </c>
      <c r="AA46" s="62"/>
      <c r="AB46" s="67">
        <f t="shared" si="48"/>
        <v>21650</v>
      </c>
      <c r="AC46" s="67">
        <f t="shared" si="48"/>
        <v>516750</v>
      </c>
      <c r="AD46" s="67">
        <f t="shared" si="48"/>
        <v>716580</v>
      </c>
      <c r="AE46" s="67">
        <f t="shared" si="48"/>
        <v>30309.999999999996</v>
      </c>
      <c r="AF46" s="67">
        <f t="shared" si="48"/>
        <v>9086.6999999999989</v>
      </c>
      <c r="AG46" s="67">
        <f t="shared" si="48"/>
        <v>51234</v>
      </c>
      <c r="AH46" s="67">
        <f t="shared" si="49"/>
        <v>40248.810000000005</v>
      </c>
      <c r="AI46" s="67">
        <f t="shared" si="50"/>
        <v>40248.810000000005</v>
      </c>
      <c r="AJ46" s="67">
        <f t="shared" si="50"/>
        <v>40248.810000000005</v>
      </c>
      <c r="AK46" s="67"/>
      <c r="AL46" s="67"/>
      <c r="AM46" s="67"/>
      <c r="AN46" s="67">
        <f t="shared" si="51"/>
        <v>1466357.1300000001</v>
      </c>
    </row>
    <row r="47" spans="2:40" outlineLevel="2" x14ac:dyDescent="0.25">
      <c r="B47" s="63" t="s">
        <v>123</v>
      </c>
      <c r="C47" s="64">
        <v>839000495</v>
      </c>
      <c r="D47" s="65" t="s">
        <v>136</v>
      </c>
      <c r="E47" s="66">
        <v>3</v>
      </c>
      <c r="F47" s="66">
        <v>0</v>
      </c>
      <c r="G47" s="66">
        <v>0</v>
      </c>
      <c r="H47" s="66">
        <f t="shared" si="2"/>
        <v>0</v>
      </c>
      <c r="I47" s="66">
        <v>0</v>
      </c>
      <c r="J47" s="66">
        <v>0</v>
      </c>
      <c r="K47" s="66">
        <v>85400</v>
      </c>
      <c r="L47" s="66">
        <v>206505</v>
      </c>
      <c r="M47" s="66">
        <v>0</v>
      </c>
      <c r="N47" s="66">
        <v>0</v>
      </c>
      <c r="O47" s="66">
        <v>0</v>
      </c>
      <c r="P47" s="66">
        <v>0</v>
      </c>
      <c r="Q47" s="67">
        <f t="shared" si="41"/>
        <v>291905</v>
      </c>
      <c r="S47" s="68">
        <f t="shared" si="42"/>
        <v>0</v>
      </c>
      <c r="T47" s="67">
        <f t="shared" si="42"/>
        <v>0</v>
      </c>
      <c r="U47" s="67">
        <f t="shared" si="43"/>
        <v>0</v>
      </c>
      <c r="V47" s="67">
        <f t="shared" si="44"/>
        <v>59779.999999999993</v>
      </c>
      <c r="W47" s="67">
        <f t="shared" si="45"/>
        <v>144553.5</v>
      </c>
      <c r="X47" s="67">
        <f t="shared" si="46"/>
        <v>0</v>
      </c>
      <c r="Y47" s="67">
        <f t="shared" si="53"/>
        <v>8757.15</v>
      </c>
      <c r="Z47" s="67">
        <f t="shared" si="47"/>
        <v>213090.65</v>
      </c>
      <c r="AA47" s="62"/>
      <c r="AB47" s="67">
        <f t="shared" si="48"/>
        <v>0</v>
      </c>
      <c r="AC47" s="67">
        <f t="shared" si="48"/>
        <v>0</v>
      </c>
      <c r="AD47" s="67">
        <f t="shared" si="48"/>
        <v>0</v>
      </c>
      <c r="AE47" s="67">
        <f t="shared" si="48"/>
        <v>59779.999999999993</v>
      </c>
      <c r="AF47" s="67">
        <f t="shared" si="48"/>
        <v>144553.5</v>
      </c>
      <c r="AG47" s="67">
        <f t="shared" si="48"/>
        <v>0</v>
      </c>
      <c r="AH47" s="67">
        <f t="shared" si="49"/>
        <v>2919.0499999999997</v>
      </c>
      <c r="AI47" s="67">
        <f t="shared" si="50"/>
        <v>2919.0499999999997</v>
      </c>
      <c r="AJ47" s="67">
        <f t="shared" si="50"/>
        <v>2919.0499999999997</v>
      </c>
      <c r="AK47" s="67"/>
      <c r="AL47" s="67"/>
      <c r="AM47" s="67"/>
      <c r="AN47" s="67">
        <f t="shared" si="51"/>
        <v>213090.64999999997</v>
      </c>
    </row>
    <row r="48" spans="2:40" outlineLevel="2" x14ac:dyDescent="0.25">
      <c r="B48" s="63" t="s">
        <v>123</v>
      </c>
      <c r="C48" s="64">
        <v>860066942</v>
      </c>
      <c r="D48" s="65" t="s">
        <v>137</v>
      </c>
      <c r="E48" s="66">
        <v>3391</v>
      </c>
      <c r="F48" s="66">
        <v>191296832.53</v>
      </c>
      <c r="G48" s="66">
        <v>414674564</v>
      </c>
      <c r="H48" s="66">
        <f t="shared" si="2"/>
        <v>605971396.52999997</v>
      </c>
      <c r="I48" s="66">
        <v>485881408</v>
      </c>
      <c r="J48" s="66">
        <v>576067283</v>
      </c>
      <c r="K48" s="66">
        <v>314973537</v>
      </c>
      <c r="L48" s="66">
        <v>151096973</v>
      </c>
      <c r="M48" s="66">
        <v>46513551</v>
      </c>
      <c r="N48" s="66">
        <v>125638048</v>
      </c>
      <c r="O48" s="66">
        <v>0</v>
      </c>
      <c r="P48" s="66">
        <v>0</v>
      </c>
      <c r="Q48" s="67">
        <f t="shared" si="41"/>
        <v>2306142196.5299997</v>
      </c>
      <c r="S48" s="68">
        <f t="shared" si="42"/>
        <v>302985698.26499999</v>
      </c>
      <c r="T48" s="67">
        <f t="shared" si="42"/>
        <v>242940704</v>
      </c>
      <c r="U48" s="67">
        <f t="shared" si="43"/>
        <v>345640369.80000001</v>
      </c>
      <c r="V48" s="67">
        <f t="shared" si="44"/>
        <v>220481475.89999998</v>
      </c>
      <c r="W48" s="67">
        <f t="shared" si="45"/>
        <v>105767881.09999999</v>
      </c>
      <c r="X48" s="67">
        <f t="shared" si="46"/>
        <v>34885163.25</v>
      </c>
      <c r="Y48" s="67">
        <f t="shared" si="53"/>
        <v>105344090.42150003</v>
      </c>
      <c r="Z48" s="67">
        <f t="shared" si="47"/>
        <v>1358045382.7365</v>
      </c>
      <c r="AA48" s="62"/>
      <c r="AB48" s="67">
        <f t="shared" si="48"/>
        <v>302985698.26499999</v>
      </c>
      <c r="AC48" s="67">
        <f t="shared" si="48"/>
        <v>242940704</v>
      </c>
      <c r="AD48" s="67">
        <f t="shared" si="48"/>
        <v>345640369.80000001</v>
      </c>
      <c r="AE48" s="67">
        <f t="shared" si="48"/>
        <v>220481475.89999998</v>
      </c>
      <c r="AF48" s="67">
        <f t="shared" si="48"/>
        <v>105767881.09999999</v>
      </c>
      <c r="AG48" s="67">
        <f t="shared" si="48"/>
        <v>34885163.25</v>
      </c>
      <c r="AH48" s="67">
        <f t="shared" si="49"/>
        <v>35114696.807166673</v>
      </c>
      <c r="AI48" s="67">
        <f t="shared" si="50"/>
        <v>35114696.807166673</v>
      </c>
      <c r="AJ48" s="67">
        <f t="shared" si="50"/>
        <v>35114696.807166673</v>
      </c>
      <c r="AK48" s="67"/>
      <c r="AL48" s="67"/>
      <c r="AM48" s="67"/>
      <c r="AN48" s="67">
        <f t="shared" si="51"/>
        <v>1358045382.7364998</v>
      </c>
    </row>
    <row r="49" spans="2:40" outlineLevel="2" x14ac:dyDescent="0.25">
      <c r="B49" s="63" t="s">
        <v>123</v>
      </c>
      <c r="C49" s="64">
        <v>890102044</v>
      </c>
      <c r="D49" s="65" t="s">
        <v>138</v>
      </c>
      <c r="E49" s="66">
        <v>15</v>
      </c>
      <c r="F49" s="66">
        <v>0</v>
      </c>
      <c r="G49" s="66">
        <v>0</v>
      </c>
      <c r="H49" s="66">
        <f t="shared" si="2"/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66">
        <v>3206669</v>
      </c>
      <c r="O49" s="66">
        <v>0</v>
      </c>
      <c r="P49" s="66">
        <v>0</v>
      </c>
      <c r="Q49" s="67">
        <f t="shared" si="41"/>
        <v>3206669</v>
      </c>
      <c r="S49" s="68">
        <f t="shared" si="42"/>
        <v>0</v>
      </c>
      <c r="T49" s="67">
        <f t="shared" si="42"/>
        <v>0</v>
      </c>
      <c r="U49" s="67">
        <f t="shared" si="43"/>
        <v>0</v>
      </c>
      <c r="V49" s="67">
        <f t="shared" si="44"/>
        <v>0</v>
      </c>
      <c r="W49" s="67">
        <f t="shared" si="45"/>
        <v>0</v>
      </c>
      <c r="X49" s="67">
        <f t="shared" si="46"/>
        <v>0</v>
      </c>
      <c r="Y49" s="67">
        <f t="shared" si="53"/>
        <v>320666.90000000002</v>
      </c>
      <c r="Z49" s="67">
        <f t="shared" si="47"/>
        <v>320666.90000000002</v>
      </c>
      <c r="AA49" s="62"/>
      <c r="AB49" s="67">
        <f t="shared" si="48"/>
        <v>0</v>
      </c>
      <c r="AC49" s="67">
        <f t="shared" si="48"/>
        <v>0</v>
      </c>
      <c r="AD49" s="67">
        <f t="shared" si="48"/>
        <v>0</v>
      </c>
      <c r="AE49" s="67">
        <f t="shared" si="48"/>
        <v>0</v>
      </c>
      <c r="AF49" s="67">
        <f t="shared" si="48"/>
        <v>0</v>
      </c>
      <c r="AG49" s="67">
        <f t="shared" si="48"/>
        <v>0</v>
      </c>
      <c r="AH49" s="67">
        <f t="shared" si="49"/>
        <v>106888.96666666667</v>
      </c>
      <c r="AI49" s="67">
        <f t="shared" si="50"/>
        <v>106888.96666666667</v>
      </c>
      <c r="AJ49" s="67">
        <f t="shared" si="50"/>
        <v>106888.96666666667</v>
      </c>
      <c r="AK49" s="67"/>
      <c r="AL49" s="67"/>
      <c r="AM49" s="67"/>
      <c r="AN49" s="67">
        <f t="shared" si="51"/>
        <v>320666.90000000002</v>
      </c>
    </row>
    <row r="50" spans="2:40" outlineLevel="2" x14ac:dyDescent="0.25">
      <c r="B50" s="63" t="s">
        <v>123</v>
      </c>
      <c r="C50" s="64">
        <v>890303093</v>
      </c>
      <c r="D50" s="65" t="s">
        <v>139</v>
      </c>
      <c r="E50" s="66">
        <v>9</v>
      </c>
      <c r="F50" s="66">
        <v>0</v>
      </c>
      <c r="G50" s="66">
        <v>0</v>
      </c>
      <c r="H50" s="66">
        <f t="shared" si="2"/>
        <v>0</v>
      </c>
      <c r="I50" s="66">
        <v>0</v>
      </c>
      <c r="J50" s="66">
        <v>0</v>
      </c>
      <c r="K50" s="66">
        <v>252059</v>
      </c>
      <c r="L50" s="66">
        <v>12786596</v>
      </c>
      <c r="M50" s="66">
        <v>327831</v>
      </c>
      <c r="N50" s="66">
        <v>6758786</v>
      </c>
      <c r="O50" s="66">
        <v>0</v>
      </c>
      <c r="P50" s="66">
        <v>0</v>
      </c>
      <c r="Q50" s="67">
        <f t="shared" si="41"/>
        <v>20125272</v>
      </c>
      <c r="S50" s="68">
        <f t="shared" si="42"/>
        <v>0</v>
      </c>
      <c r="T50" s="67">
        <f t="shared" si="42"/>
        <v>0</v>
      </c>
      <c r="U50" s="67">
        <f t="shared" si="43"/>
        <v>0</v>
      </c>
      <c r="V50" s="67">
        <f t="shared" si="44"/>
        <v>176441.3</v>
      </c>
      <c r="W50" s="67">
        <f t="shared" si="45"/>
        <v>8950617.1999999993</v>
      </c>
      <c r="X50" s="67">
        <f t="shared" si="46"/>
        <v>245873.25</v>
      </c>
      <c r="Y50" s="67">
        <f t="shared" si="53"/>
        <v>1075234.0250000001</v>
      </c>
      <c r="Z50" s="67">
        <f t="shared" si="47"/>
        <v>10448165.775</v>
      </c>
      <c r="AA50" s="62"/>
      <c r="AB50" s="67">
        <f t="shared" si="48"/>
        <v>0</v>
      </c>
      <c r="AC50" s="67">
        <f t="shared" si="48"/>
        <v>0</v>
      </c>
      <c r="AD50" s="67">
        <f t="shared" si="48"/>
        <v>0</v>
      </c>
      <c r="AE50" s="67">
        <f t="shared" si="48"/>
        <v>176441.3</v>
      </c>
      <c r="AF50" s="67">
        <f t="shared" si="48"/>
        <v>8950617.1999999993</v>
      </c>
      <c r="AG50" s="67">
        <f t="shared" si="48"/>
        <v>245873.25</v>
      </c>
      <c r="AH50" s="67">
        <f t="shared" si="49"/>
        <v>358411.34166666673</v>
      </c>
      <c r="AI50" s="67">
        <f t="shared" ref="AI50:AJ61" si="54">+AH50</f>
        <v>358411.34166666673</v>
      </c>
      <c r="AJ50" s="67">
        <f t="shared" si="54"/>
        <v>358411.34166666673</v>
      </c>
      <c r="AK50" s="67"/>
      <c r="AL50" s="67"/>
      <c r="AM50" s="67"/>
      <c r="AN50" s="67">
        <f t="shared" si="51"/>
        <v>10448165.775</v>
      </c>
    </row>
    <row r="51" spans="2:40" outlineLevel="2" x14ac:dyDescent="0.25">
      <c r="B51" s="63" t="s">
        <v>123</v>
      </c>
      <c r="C51" s="64">
        <v>891600091</v>
      </c>
      <c r="D51" s="65" t="s">
        <v>140</v>
      </c>
      <c r="E51" s="66">
        <v>1</v>
      </c>
      <c r="F51" s="66">
        <v>0</v>
      </c>
      <c r="G51" s="66">
        <v>0</v>
      </c>
      <c r="H51" s="66">
        <f t="shared" si="2"/>
        <v>0</v>
      </c>
      <c r="I51" s="66">
        <v>0</v>
      </c>
      <c r="J51" s="66">
        <v>0</v>
      </c>
      <c r="K51" s="66">
        <v>0</v>
      </c>
      <c r="L51" s="66">
        <v>0</v>
      </c>
      <c r="M51" s="66">
        <v>0</v>
      </c>
      <c r="N51" s="66">
        <v>1089015</v>
      </c>
      <c r="O51" s="66">
        <v>0</v>
      </c>
      <c r="P51" s="66">
        <v>0</v>
      </c>
      <c r="Q51" s="67">
        <f t="shared" si="41"/>
        <v>1089015</v>
      </c>
      <c r="S51" s="68">
        <f t="shared" si="42"/>
        <v>0</v>
      </c>
      <c r="T51" s="67">
        <f t="shared" si="42"/>
        <v>0</v>
      </c>
      <c r="U51" s="67">
        <f t="shared" si="43"/>
        <v>0</v>
      </c>
      <c r="V51" s="67">
        <f t="shared" si="44"/>
        <v>0</v>
      </c>
      <c r="W51" s="67">
        <f t="shared" si="45"/>
        <v>0</v>
      </c>
      <c r="X51" s="67">
        <f t="shared" si="46"/>
        <v>0</v>
      </c>
      <c r="Y51" s="67">
        <f t="shared" si="53"/>
        <v>108901.5</v>
      </c>
      <c r="Z51" s="67">
        <f t="shared" si="47"/>
        <v>108901.5</v>
      </c>
      <c r="AA51" s="62"/>
      <c r="AB51" s="67">
        <f t="shared" si="48"/>
        <v>0</v>
      </c>
      <c r="AC51" s="67">
        <f t="shared" si="48"/>
        <v>0</v>
      </c>
      <c r="AD51" s="67">
        <f t="shared" si="48"/>
        <v>0</v>
      </c>
      <c r="AE51" s="67">
        <f t="shared" si="48"/>
        <v>0</v>
      </c>
      <c r="AF51" s="67">
        <f t="shared" si="48"/>
        <v>0</v>
      </c>
      <c r="AG51" s="67">
        <f t="shared" si="48"/>
        <v>0</v>
      </c>
      <c r="AH51" s="67">
        <f t="shared" si="49"/>
        <v>36300.5</v>
      </c>
      <c r="AI51" s="67">
        <f t="shared" si="54"/>
        <v>36300.5</v>
      </c>
      <c r="AJ51" s="67">
        <f t="shared" si="54"/>
        <v>36300.5</v>
      </c>
      <c r="AK51" s="67"/>
      <c r="AL51" s="67"/>
      <c r="AM51" s="67"/>
      <c r="AN51" s="67">
        <f t="shared" si="51"/>
        <v>108901.5</v>
      </c>
    </row>
    <row r="52" spans="2:40" outlineLevel="2" x14ac:dyDescent="0.25">
      <c r="B52" s="63" t="s">
        <v>123</v>
      </c>
      <c r="C52" s="64">
        <v>891856000</v>
      </c>
      <c r="D52" s="65" t="s">
        <v>141</v>
      </c>
      <c r="E52" s="66">
        <v>52</v>
      </c>
      <c r="F52" s="66">
        <v>0.72</v>
      </c>
      <c r="G52" s="66">
        <v>0</v>
      </c>
      <c r="H52" s="66">
        <f t="shared" si="2"/>
        <v>0.72</v>
      </c>
      <c r="I52" s="66">
        <v>6986269</v>
      </c>
      <c r="J52" s="66">
        <v>0</v>
      </c>
      <c r="K52" s="66">
        <v>81400</v>
      </c>
      <c r="L52" s="66">
        <v>873479</v>
      </c>
      <c r="M52" s="66">
        <v>102480143</v>
      </c>
      <c r="N52" s="66">
        <v>91280253</v>
      </c>
      <c r="O52" s="66">
        <v>0</v>
      </c>
      <c r="P52" s="66">
        <v>0</v>
      </c>
      <c r="Q52" s="67">
        <f t="shared" si="41"/>
        <v>201701544.72</v>
      </c>
      <c r="S52" s="68">
        <f t="shared" si="42"/>
        <v>0.36</v>
      </c>
      <c r="T52" s="67">
        <f t="shared" si="42"/>
        <v>3493134.5</v>
      </c>
      <c r="U52" s="67">
        <f t="shared" si="43"/>
        <v>0</v>
      </c>
      <c r="V52" s="67">
        <f t="shared" si="44"/>
        <v>56980</v>
      </c>
      <c r="W52" s="67">
        <f t="shared" si="45"/>
        <v>611435.29999999993</v>
      </c>
      <c r="X52" s="67">
        <f t="shared" si="46"/>
        <v>76860107.25</v>
      </c>
      <c r="Y52" s="67">
        <f t="shared" si="53"/>
        <v>12067988.730999999</v>
      </c>
      <c r="Z52" s="67">
        <f t="shared" si="47"/>
        <v>93089646.141000003</v>
      </c>
      <c r="AA52" s="62"/>
      <c r="AB52" s="67">
        <f t="shared" si="48"/>
        <v>0.36</v>
      </c>
      <c r="AC52" s="67">
        <f t="shared" si="48"/>
        <v>3493134.5</v>
      </c>
      <c r="AD52" s="67">
        <f t="shared" si="48"/>
        <v>0</v>
      </c>
      <c r="AE52" s="67">
        <f t="shared" si="48"/>
        <v>56980</v>
      </c>
      <c r="AF52" s="67">
        <f t="shared" si="48"/>
        <v>611435.29999999993</v>
      </c>
      <c r="AG52" s="67">
        <f t="shared" si="48"/>
        <v>76860107.25</v>
      </c>
      <c r="AH52" s="67">
        <f t="shared" si="49"/>
        <v>4022662.9103333331</v>
      </c>
      <c r="AI52" s="67">
        <f t="shared" si="54"/>
        <v>4022662.9103333331</v>
      </c>
      <c r="AJ52" s="67">
        <f t="shared" si="54"/>
        <v>4022662.9103333331</v>
      </c>
      <c r="AK52" s="67"/>
      <c r="AL52" s="67"/>
      <c r="AM52" s="67"/>
      <c r="AN52" s="67">
        <f t="shared" si="51"/>
        <v>93089646.141000003</v>
      </c>
    </row>
    <row r="53" spans="2:40" outlineLevel="2" x14ac:dyDescent="0.25">
      <c r="B53" s="63" t="s">
        <v>123</v>
      </c>
      <c r="C53" s="64">
        <v>900156264</v>
      </c>
      <c r="D53" s="65" t="s">
        <v>142</v>
      </c>
      <c r="E53" s="66">
        <v>8230</v>
      </c>
      <c r="F53" s="66">
        <v>160605500.66</v>
      </c>
      <c r="G53" s="66">
        <v>540803683</v>
      </c>
      <c r="H53" s="66">
        <f t="shared" si="2"/>
        <v>701409183.65999997</v>
      </c>
      <c r="I53" s="66">
        <v>557449653</v>
      </c>
      <c r="J53" s="66">
        <v>657977675</v>
      </c>
      <c r="K53" s="66">
        <v>653733909</v>
      </c>
      <c r="L53" s="66">
        <v>2319637643</v>
      </c>
      <c r="M53" s="66">
        <v>2616287892</v>
      </c>
      <c r="N53" s="66">
        <v>552474686.60000002</v>
      </c>
      <c r="O53" s="66">
        <v>0</v>
      </c>
      <c r="P53" s="86">
        <v>-1607712286</v>
      </c>
      <c r="Q53" s="67">
        <f t="shared" si="41"/>
        <v>6451258356.2600002</v>
      </c>
      <c r="S53" s="68">
        <f t="shared" si="42"/>
        <v>350704591.82999998</v>
      </c>
      <c r="T53" s="67">
        <f t="shared" si="42"/>
        <v>278724826.5</v>
      </c>
      <c r="U53" s="67">
        <f t="shared" si="43"/>
        <v>394786605</v>
      </c>
      <c r="V53" s="67">
        <f t="shared" si="44"/>
        <v>457613736.29999995</v>
      </c>
      <c r="W53" s="67">
        <f t="shared" si="45"/>
        <v>1623746350.0999999</v>
      </c>
      <c r="X53" s="67">
        <f t="shared" si="46"/>
        <v>1962215919</v>
      </c>
      <c r="Y53" s="67">
        <f t="shared" si="53"/>
        <v>138346632.75300002</v>
      </c>
      <c r="Z53" s="67">
        <f t="shared" si="47"/>
        <v>5206138661.4829998</v>
      </c>
      <c r="AA53" s="62"/>
      <c r="AB53" s="67">
        <f>5206138661.483-AC53-AD53-AE53-AF53</f>
        <v>2451267143.5829997</v>
      </c>
      <c r="AC53" s="67">
        <f t="shared" si="48"/>
        <v>278724826.5</v>
      </c>
      <c r="AD53" s="67">
        <f t="shared" si="48"/>
        <v>394786605</v>
      </c>
      <c r="AE53" s="67">
        <f t="shared" si="48"/>
        <v>457613736.29999995</v>
      </c>
      <c r="AF53" s="67">
        <f t="shared" si="48"/>
        <v>1623746350.0999999</v>
      </c>
      <c r="AG53" s="67"/>
      <c r="AH53" s="67"/>
      <c r="AI53" s="67"/>
      <c r="AJ53" s="67"/>
      <c r="AK53" s="67"/>
      <c r="AL53" s="67"/>
      <c r="AM53" s="67"/>
      <c r="AN53" s="67">
        <f t="shared" si="51"/>
        <v>5206138661.4829998</v>
      </c>
    </row>
    <row r="54" spans="2:40" outlineLevel="2" x14ac:dyDescent="0.25">
      <c r="B54" s="63" t="s">
        <v>123</v>
      </c>
      <c r="C54" s="64">
        <v>900226715</v>
      </c>
      <c r="D54" s="65" t="s">
        <v>120</v>
      </c>
      <c r="E54" s="66">
        <v>572</v>
      </c>
      <c r="F54" s="66">
        <v>1855226</v>
      </c>
      <c r="G54" s="66">
        <v>55471543</v>
      </c>
      <c r="H54" s="66">
        <f t="shared" si="2"/>
        <v>57326769</v>
      </c>
      <c r="I54" s="66">
        <v>40899893</v>
      </c>
      <c r="J54" s="66">
        <v>15948682</v>
      </c>
      <c r="K54" s="66">
        <v>50474746</v>
      </c>
      <c r="L54" s="66">
        <v>91730793</v>
      </c>
      <c r="M54" s="66">
        <v>143579973</v>
      </c>
      <c r="N54" s="66">
        <v>103470608</v>
      </c>
      <c r="O54" s="66">
        <v>0</v>
      </c>
      <c r="P54" s="66">
        <v>0</v>
      </c>
      <c r="Q54" s="67">
        <f t="shared" si="41"/>
        <v>503431464</v>
      </c>
      <c r="S54" s="68">
        <f t="shared" si="42"/>
        <v>28663384.5</v>
      </c>
      <c r="T54" s="67">
        <f t="shared" si="42"/>
        <v>20449946.5</v>
      </c>
      <c r="U54" s="67">
        <f t="shared" si="43"/>
        <v>9569209.1999999993</v>
      </c>
      <c r="V54" s="67">
        <f t="shared" si="44"/>
        <v>35332322.199999996</v>
      </c>
      <c r="W54" s="67">
        <f t="shared" si="45"/>
        <v>64211555.099999994</v>
      </c>
      <c r="X54" s="67">
        <f t="shared" si="46"/>
        <v>107684979.75</v>
      </c>
      <c r="Y54" s="67">
        <f t="shared" si="53"/>
        <v>23752006.675000001</v>
      </c>
      <c r="Z54" s="67">
        <f t="shared" si="47"/>
        <v>289663403.92500001</v>
      </c>
      <c r="AA54" s="62"/>
      <c r="AB54" s="67">
        <f t="shared" si="48"/>
        <v>28663384.5</v>
      </c>
      <c r="AC54" s="67">
        <f t="shared" si="48"/>
        <v>20449946.5</v>
      </c>
      <c r="AD54" s="67">
        <f t="shared" si="48"/>
        <v>9569209.1999999993</v>
      </c>
      <c r="AE54" s="67">
        <f t="shared" si="48"/>
        <v>35332322.199999996</v>
      </c>
      <c r="AF54" s="67">
        <f t="shared" si="48"/>
        <v>64211555.099999994</v>
      </c>
      <c r="AG54" s="67">
        <f t="shared" si="48"/>
        <v>107684979.75</v>
      </c>
      <c r="AH54" s="67">
        <f t="shared" si="49"/>
        <v>7917335.5583333336</v>
      </c>
      <c r="AI54" s="67">
        <f t="shared" si="54"/>
        <v>7917335.5583333336</v>
      </c>
      <c r="AJ54" s="67">
        <f t="shared" si="54"/>
        <v>7917335.5583333336</v>
      </c>
      <c r="AK54" s="67"/>
      <c r="AL54" s="67"/>
      <c r="AM54" s="67"/>
      <c r="AN54" s="67">
        <f t="shared" si="51"/>
        <v>289663403.92500001</v>
      </c>
    </row>
    <row r="55" spans="2:40" outlineLevel="2" x14ac:dyDescent="0.25">
      <c r="B55" s="63" t="s">
        <v>123</v>
      </c>
      <c r="C55" s="64">
        <v>900298372</v>
      </c>
      <c r="D55" s="65" t="s">
        <v>143</v>
      </c>
      <c r="E55" s="66">
        <v>3414</v>
      </c>
      <c r="F55" s="66">
        <v>115229003.62</v>
      </c>
      <c r="G55" s="66">
        <v>993128032</v>
      </c>
      <c r="H55" s="66">
        <f t="shared" si="2"/>
        <v>1108357035.6199999</v>
      </c>
      <c r="I55" s="66">
        <v>94272725</v>
      </c>
      <c r="J55" s="66">
        <v>54440587</v>
      </c>
      <c r="K55" s="66">
        <v>37346657</v>
      </c>
      <c r="L55" s="66">
        <v>265790269</v>
      </c>
      <c r="M55" s="66">
        <v>33799617</v>
      </c>
      <c r="N55" s="66">
        <v>88141478</v>
      </c>
      <c r="O55" s="66">
        <v>0</v>
      </c>
      <c r="P55" s="66">
        <v>-948414555</v>
      </c>
      <c r="Q55" s="67">
        <f t="shared" si="41"/>
        <v>733733813.61999989</v>
      </c>
      <c r="S55" s="68">
        <f t="shared" si="42"/>
        <v>554178517.80999994</v>
      </c>
      <c r="T55" s="67">
        <f t="shared" si="42"/>
        <v>47136362.5</v>
      </c>
      <c r="U55" s="67">
        <f t="shared" si="43"/>
        <v>32664352.199999999</v>
      </c>
      <c r="V55" s="67">
        <f t="shared" si="44"/>
        <v>26142659.899999999</v>
      </c>
      <c r="W55" s="67">
        <f>73611921.2099999*90%</f>
        <v>66250729.088999912</v>
      </c>
      <c r="X55" s="67"/>
      <c r="Y55" s="67">
        <f t="shared" si="53"/>
        <v>736119.21210000373</v>
      </c>
      <c r="Z55" s="67">
        <f t="shared" si="47"/>
        <v>727108740.71109986</v>
      </c>
      <c r="AA55" s="62"/>
      <c r="AB55" s="67">
        <f t="shared" si="48"/>
        <v>554178517.80999994</v>
      </c>
      <c r="AC55" s="67">
        <f t="shared" si="48"/>
        <v>47136362.5</v>
      </c>
      <c r="AD55" s="67">
        <f t="shared" si="48"/>
        <v>32664352.199999999</v>
      </c>
      <c r="AE55" s="67">
        <f t="shared" si="48"/>
        <v>26142659.899999999</v>
      </c>
      <c r="AF55" s="67">
        <f t="shared" si="48"/>
        <v>66250729.088999912</v>
      </c>
      <c r="AG55" s="67">
        <f t="shared" si="48"/>
        <v>0</v>
      </c>
      <c r="AH55" s="67">
        <f t="shared" si="49"/>
        <v>245373.07070000123</v>
      </c>
      <c r="AI55" s="67">
        <f t="shared" si="54"/>
        <v>245373.07070000123</v>
      </c>
      <c r="AJ55" s="67">
        <f t="shared" si="54"/>
        <v>245373.07070000123</v>
      </c>
      <c r="AK55" s="67"/>
      <c r="AL55" s="67"/>
      <c r="AM55" s="67"/>
      <c r="AN55" s="67">
        <f t="shared" si="51"/>
        <v>727108740.71109998</v>
      </c>
    </row>
    <row r="56" spans="2:40" outlineLevel="2" x14ac:dyDescent="0.25">
      <c r="B56" s="63" t="s">
        <v>123</v>
      </c>
      <c r="C56" s="64">
        <v>900604350</v>
      </c>
      <c r="D56" s="65" t="s">
        <v>144</v>
      </c>
      <c r="E56" s="66">
        <v>14</v>
      </c>
      <c r="F56" s="66">
        <v>0</v>
      </c>
      <c r="G56" s="66">
        <v>1707591</v>
      </c>
      <c r="H56" s="66">
        <f t="shared" si="2"/>
        <v>1707591</v>
      </c>
      <c r="I56" s="66">
        <v>51300</v>
      </c>
      <c r="J56" s="66">
        <v>0</v>
      </c>
      <c r="K56" s="66">
        <v>0</v>
      </c>
      <c r="L56" s="66">
        <v>1441033</v>
      </c>
      <c r="M56" s="66">
        <v>122600</v>
      </c>
      <c r="N56" s="66">
        <v>7281485</v>
      </c>
      <c r="O56" s="66">
        <v>0</v>
      </c>
      <c r="P56" s="66">
        <v>0</v>
      </c>
      <c r="Q56" s="67">
        <f t="shared" si="41"/>
        <v>10604009</v>
      </c>
      <c r="S56" s="68">
        <f t="shared" si="42"/>
        <v>853795.5</v>
      </c>
      <c r="T56" s="67">
        <f t="shared" si="42"/>
        <v>25650</v>
      </c>
      <c r="U56" s="67">
        <f t="shared" si="43"/>
        <v>0</v>
      </c>
      <c r="V56" s="67">
        <f t="shared" si="44"/>
        <v>0</v>
      </c>
      <c r="W56" s="67">
        <f t="shared" si="45"/>
        <v>1008723.1</v>
      </c>
      <c r="X56" s="67">
        <f t="shared" si="46"/>
        <v>91950</v>
      </c>
      <c r="Y56" s="67">
        <f t="shared" si="53"/>
        <v>862389.04</v>
      </c>
      <c r="Z56" s="67">
        <f t="shared" si="47"/>
        <v>2842507.64</v>
      </c>
      <c r="AA56" s="62"/>
      <c r="AB56" s="67">
        <f t="shared" si="48"/>
        <v>853795.5</v>
      </c>
      <c r="AC56" s="67">
        <f t="shared" si="48"/>
        <v>25650</v>
      </c>
      <c r="AD56" s="67">
        <f t="shared" si="48"/>
        <v>0</v>
      </c>
      <c r="AE56" s="67">
        <f t="shared" si="48"/>
        <v>0</v>
      </c>
      <c r="AF56" s="67">
        <f t="shared" si="48"/>
        <v>1008723.1</v>
      </c>
      <c r="AG56" s="67">
        <f t="shared" si="48"/>
        <v>91950</v>
      </c>
      <c r="AH56" s="67">
        <f t="shared" si="49"/>
        <v>287463.01333333337</v>
      </c>
      <c r="AI56" s="67">
        <f t="shared" si="54"/>
        <v>287463.01333333337</v>
      </c>
      <c r="AJ56" s="67">
        <f t="shared" si="54"/>
        <v>287463.01333333337</v>
      </c>
      <c r="AK56" s="67"/>
      <c r="AL56" s="67"/>
      <c r="AM56" s="67"/>
      <c r="AN56" s="67">
        <f t="shared" si="51"/>
        <v>2842507.6399999997</v>
      </c>
    </row>
    <row r="57" spans="2:40" outlineLevel="2" x14ac:dyDescent="0.25">
      <c r="B57" s="63" t="s">
        <v>123</v>
      </c>
      <c r="C57" s="64">
        <v>900935126</v>
      </c>
      <c r="D57" s="65" t="s">
        <v>145</v>
      </c>
      <c r="E57" s="66">
        <v>127</v>
      </c>
      <c r="F57" s="66">
        <v>0</v>
      </c>
      <c r="G57" s="66">
        <v>7949991</v>
      </c>
      <c r="H57" s="66">
        <f t="shared" si="2"/>
        <v>7949991</v>
      </c>
      <c r="I57" s="66">
        <v>3644027</v>
      </c>
      <c r="J57" s="66">
        <v>1827536</v>
      </c>
      <c r="K57" s="66">
        <v>1280056</v>
      </c>
      <c r="L57" s="66">
        <v>17980633</v>
      </c>
      <c r="M57" s="66">
        <v>2266425</v>
      </c>
      <c r="N57" s="66">
        <v>28472219.75</v>
      </c>
      <c r="O57" s="66">
        <v>0</v>
      </c>
      <c r="P57" s="66">
        <v>0</v>
      </c>
      <c r="Q57" s="67">
        <f t="shared" si="41"/>
        <v>63420887.75</v>
      </c>
      <c r="S57" s="68">
        <f t="shared" si="42"/>
        <v>3974995.5</v>
      </c>
      <c r="T57" s="67">
        <f t="shared" si="42"/>
        <v>1822013.5</v>
      </c>
      <c r="U57" s="67">
        <f t="shared" si="43"/>
        <v>1096521.5999999999</v>
      </c>
      <c r="V57" s="67">
        <f t="shared" si="44"/>
        <v>896039.2</v>
      </c>
      <c r="W57" s="67">
        <f t="shared" si="45"/>
        <v>12586443.1</v>
      </c>
      <c r="X57" s="67">
        <f t="shared" si="46"/>
        <v>1699818.75</v>
      </c>
      <c r="Y57" s="67">
        <f t="shared" si="53"/>
        <v>4134505.6099999994</v>
      </c>
      <c r="Z57" s="67">
        <f t="shared" si="47"/>
        <v>26210337.259999998</v>
      </c>
      <c r="AA57" s="62"/>
      <c r="AB57" s="67">
        <f t="shared" si="48"/>
        <v>3974995.5</v>
      </c>
      <c r="AC57" s="67">
        <f t="shared" si="48"/>
        <v>1822013.5</v>
      </c>
      <c r="AD57" s="67">
        <f t="shared" si="48"/>
        <v>1096521.5999999999</v>
      </c>
      <c r="AE57" s="67">
        <f t="shared" si="48"/>
        <v>896039.2</v>
      </c>
      <c r="AF57" s="67">
        <f t="shared" si="48"/>
        <v>12586443.1</v>
      </c>
      <c r="AG57" s="67">
        <f t="shared" si="48"/>
        <v>1699818.75</v>
      </c>
      <c r="AH57" s="67">
        <f t="shared" si="49"/>
        <v>1378168.5366666664</v>
      </c>
      <c r="AI57" s="67">
        <f t="shared" si="54"/>
        <v>1378168.5366666664</v>
      </c>
      <c r="AJ57" s="67">
        <f t="shared" si="54"/>
        <v>1378168.5366666664</v>
      </c>
      <c r="AK57" s="67"/>
      <c r="AL57" s="67"/>
      <c r="AM57" s="67"/>
      <c r="AN57" s="67">
        <f t="shared" si="51"/>
        <v>26210337.259999994</v>
      </c>
    </row>
    <row r="58" spans="2:40" outlineLevel="2" x14ac:dyDescent="0.25">
      <c r="B58" s="63" t="s">
        <v>123</v>
      </c>
      <c r="C58" s="64">
        <v>901021565</v>
      </c>
      <c r="D58" s="65" t="s">
        <v>146</v>
      </c>
      <c r="E58" s="66">
        <v>15</v>
      </c>
      <c r="F58" s="66">
        <v>0</v>
      </c>
      <c r="G58" s="66">
        <v>0</v>
      </c>
      <c r="H58" s="66">
        <f t="shared" si="2"/>
        <v>0</v>
      </c>
      <c r="I58" s="66">
        <v>0</v>
      </c>
      <c r="J58" s="66">
        <v>0</v>
      </c>
      <c r="K58" s="66">
        <v>0</v>
      </c>
      <c r="L58" s="66">
        <v>0</v>
      </c>
      <c r="M58" s="66">
        <v>216973</v>
      </c>
      <c r="N58" s="66">
        <v>4113025</v>
      </c>
      <c r="O58" s="66">
        <v>0</v>
      </c>
      <c r="P58" s="66">
        <v>0</v>
      </c>
      <c r="Q58" s="67">
        <f t="shared" si="41"/>
        <v>4329998</v>
      </c>
      <c r="S58" s="68">
        <f t="shared" si="42"/>
        <v>0</v>
      </c>
      <c r="T58" s="67">
        <f t="shared" si="42"/>
        <v>0</v>
      </c>
      <c r="U58" s="67">
        <f t="shared" si="43"/>
        <v>0</v>
      </c>
      <c r="V58" s="67">
        <f t="shared" si="44"/>
        <v>0</v>
      </c>
      <c r="W58" s="67">
        <f t="shared" si="45"/>
        <v>0</v>
      </c>
      <c r="X58" s="67">
        <f t="shared" si="46"/>
        <v>162729.75</v>
      </c>
      <c r="Y58" s="67">
        <f t="shared" si="53"/>
        <v>416726.82500000001</v>
      </c>
      <c r="Z58" s="67">
        <f t="shared" si="47"/>
        <v>579456.57499999995</v>
      </c>
      <c r="AA58" s="62"/>
      <c r="AB58" s="67">
        <f t="shared" si="48"/>
        <v>0</v>
      </c>
      <c r="AC58" s="67">
        <f t="shared" si="48"/>
        <v>0</v>
      </c>
      <c r="AD58" s="67">
        <f t="shared" si="48"/>
        <v>0</v>
      </c>
      <c r="AE58" s="67">
        <f t="shared" si="48"/>
        <v>0</v>
      </c>
      <c r="AF58" s="67">
        <f t="shared" si="48"/>
        <v>0</v>
      </c>
      <c r="AG58" s="67">
        <f t="shared" si="48"/>
        <v>162729.75</v>
      </c>
      <c r="AH58" s="67">
        <f t="shared" si="49"/>
        <v>138908.94166666668</v>
      </c>
      <c r="AI58" s="67">
        <f t="shared" si="54"/>
        <v>138908.94166666668</v>
      </c>
      <c r="AJ58" s="67">
        <f t="shared" si="54"/>
        <v>138908.94166666668</v>
      </c>
      <c r="AK58" s="67"/>
      <c r="AL58" s="67"/>
      <c r="AM58" s="67"/>
      <c r="AN58" s="67">
        <f t="shared" si="51"/>
        <v>579456.57499999995</v>
      </c>
    </row>
    <row r="59" spans="2:40" outlineLevel="2" x14ac:dyDescent="0.25">
      <c r="B59" s="63" t="s">
        <v>123</v>
      </c>
      <c r="C59" s="64">
        <v>901543211</v>
      </c>
      <c r="D59" s="65" t="s">
        <v>147</v>
      </c>
      <c r="E59" s="66">
        <v>256</v>
      </c>
      <c r="F59" s="66">
        <v>0</v>
      </c>
      <c r="G59" s="66">
        <v>27038382</v>
      </c>
      <c r="H59" s="66">
        <f t="shared" si="2"/>
        <v>27038382</v>
      </c>
      <c r="I59" s="66">
        <v>7058918</v>
      </c>
      <c r="J59" s="66">
        <v>4323721</v>
      </c>
      <c r="K59" s="66">
        <v>0</v>
      </c>
      <c r="L59" s="66">
        <v>19539254</v>
      </c>
      <c r="M59" s="66">
        <v>6062648</v>
      </c>
      <c r="N59" s="66">
        <v>105381680.59999999</v>
      </c>
      <c r="O59" s="66">
        <v>0</v>
      </c>
      <c r="P59" s="66">
        <v>0</v>
      </c>
      <c r="Q59" s="67">
        <f t="shared" si="41"/>
        <v>169404603.59999999</v>
      </c>
      <c r="S59" s="68">
        <f t="shared" si="42"/>
        <v>13519191</v>
      </c>
      <c r="T59" s="67">
        <f t="shared" si="42"/>
        <v>3529459</v>
      </c>
      <c r="U59" s="67">
        <f t="shared" si="43"/>
        <v>2594232.6</v>
      </c>
      <c r="V59" s="67">
        <f t="shared" si="44"/>
        <v>0</v>
      </c>
      <c r="W59" s="67">
        <f t="shared" si="45"/>
        <v>13677477.799999999</v>
      </c>
      <c r="X59" s="67">
        <f t="shared" si="46"/>
        <v>4546986</v>
      </c>
      <c r="Y59" s="67">
        <f t="shared" si="53"/>
        <v>13153725.719999999</v>
      </c>
      <c r="Z59" s="67">
        <f t="shared" si="47"/>
        <v>51021072.119999997</v>
      </c>
      <c r="AA59" s="62"/>
      <c r="AB59" s="67">
        <f t="shared" si="48"/>
        <v>13519191</v>
      </c>
      <c r="AC59" s="67">
        <f t="shared" si="48"/>
        <v>3529459</v>
      </c>
      <c r="AD59" s="67">
        <f t="shared" si="48"/>
        <v>2594232.6</v>
      </c>
      <c r="AE59" s="67">
        <f t="shared" si="48"/>
        <v>0</v>
      </c>
      <c r="AF59" s="67">
        <f t="shared" si="48"/>
        <v>13677477.799999999</v>
      </c>
      <c r="AG59" s="67">
        <f t="shared" si="48"/>
        <v>4546986</v>
      </c>
      <c r="AH59" s="67">
        <f t="shared" si="49"/>
        <v>4384575.2399999993</v>
      </c>
      <c r="AI59" s="67">
        <f t="shared" si="54"/>
        <v>4384575.2399999993</v>
      </c>
      <c r="AJ59" s="67">
        <f t="shared" si="54"/>
        <v>4384575.2399999993</v>
      </c>
      <c r="AK59" s="67"/>
      <c r="AL59" s="67"/>
      <c r="AM59" s="67"/>
      <c r="AN59" s="67">
        <f t="shared" si="51"/>
        <v>51021072.120000005</v>
      </c>
    </row>
    <row r="60" spans="2:40" outlineLevel="2" x14ac:dyDescent="0.25">
      <c r="B60" s="63" t="s">
        <v>123</v>
      </c>
      <c r="C60" s="64">
        <v>901543761</v>
      </c>
      <c r="D60" s="65" t="s">
        <v>148</v>
      </c>
      <c r="E60" s="66">
        <v>28</v>
      </c>
      <c r="F60" s="66">
        <v>0</v>
      </c>
      <c r="G60" s="66">
        <v>2445868</v>
      </c>
      <c r="H60" s="66">
        <f t="shared" si="2"/>
        <v>2445868</v>
      </c>
      <c r="I60" s="66">
        <v>0</v>
      </c>
      <c r="J60" s="66">
        <v>1039070</v>
      </c>
      <c r="K60" s="66">
        <v>0</v>
      </c>
      <c r="L60" s="66">
        <v>350065</v>
      </c>
      <c r="M60" s="66">
        <v>1942912</v>
      </c>
      <c r="N60" s="66">
        <v>6207981</v>
      </c>
      <c r="O60" s="66">
        <v>0</v>
      </c>
      <c r="P60" s="66">
        <v>0</v>
      </c>
      <c r="Q60" s="67">
        <f t="shared" si="41"/>
        <v>11985896</v>
      </c>
      <c r="S60" s="68">
        <f t="shared" si="42"/>
        <v>1222934</v>
      </c>
      <c r="T60" s="67">
        <f t="shared" si="42"/>
        <v>0</v>
      </c>
      <c r="U60" s="67">
        <f t="shared" si="43"/>
        <v>623442</v>
      </c>
      <c r="V60" s="67">
        <f t="shared" si="44"/>
        <v>0</v>
      </c>
      <c r="W60" s="67">
        <f t="shared" si="45"/>
        <v>245045.49999999997</v>
      </c>
      <c r="X60" s="67">
        <f t="shared" si="46"/>
        <v>1457184</v>
      </c>
      <c r="Y60" s="67">
        <f t="shared" si="53"/>
        <v>843729.05</v>
      </c>
      <c r="Z60" s="67">
        <f t="shared" si="47"/>
        <v>4392334.55</v>
      </c>
      <c r="AA60" s="62"/>
      <c r="AB60" s="67">
        <f t="shared" si="48"/>
        <v>1222934</v>
      </c>
      <c r="AC60" s="67">
        <f t="shared" si="48"/>
        <v>0</v>
      </c>
      <c r="AD60" s="67">
        <f t="shared" si="48"/>
        <v>623442</v>
      </c>
      <c r="AE60" s="67">
        <f t="shared" si="48"/>
        <v>0</v>
      </c>
      <c r="AF60" s="67">
        <f t="shared" si="48"/>
        <v>245045.49999999997</v>
      </c>
      <c r="AG60" s="67">
        <f t="shared" si="48"/>
        <v>1457184</v>
      </c>
      <c r="AH60" s="67">
        <f t="shared" si="49"/>
        <v>281243.01666666666</v>
      </c>
      <c r="AI60" s="67">
        <f t="shared" si="54"/>
        <v>281243.01666666666</v>
      </c>
      <c r="AJ60" s="67">
        <f t="shared" si="54"/>
        <v>281243.01666666666</v>
      </c>
      <c r="AK60" s="67"/>
      <c r="AL60" s="67"/>
      <c r="AM60" s="67"/>
      <c r="AN60" s="67">
        <f t="shared" si="51"/>
        <v>4392334.55</v>
      </c>
    </row>
    <row r="61" spans="2:40" ht="12" outlineLevel="2" thickBot="1" x14ac:dyDescent="0.3">
      <c r="B61" s="63" t="s">
        <v>123</v>
      </c>
      <c r="C61" s="64" t="s">
        <v>149</v>
      </c>
      <c r="D61" s="65" t="s">
        <v>150</v>
      </c>
      <c r="E61" s="66">
        <v>0</v>
      </c>
      <c r="F61" s="66">
        <v>5530300</v>
      </c>
      <c r="G61" s="66">
        <v>0</v>
      </c>
      <c r="H61" s="66">
        <f t="shared" si="2"/>
        <v>5530300</v>
      </c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7">
        <f t="shared" si="41"/>
        <v>5530300</v>
      </c>
      <c r="S61" s="68">
        <f t="shared" si="42"/>
        <v>2765150</v>
      </c>
      <c r="T61" s="67">
        <f t="shared" si="42"/>
        <v>0</v>
      </c>
      <c r="U61" s="67">
        <f t="shared" si="43"/>
        <v>0</v>
      </c>
      <c r="V61" s="67">
        <f t="shared" si="44"/>
        <v>0</v>
      </c>
      <c r="W61" s="67">
        <f t="shared" si="45"/>
        <v>0</v>
      </c>
      <c r="X61" s="67">
        <f t="shared" si="46"/>
        <v>0</v>
      </c>
      <c r="Y61" s="67">
        <f t="shared" si="53"/>
        <v>276515</v>
      </c>
      <c r="Z61" s="67">
        <f t="shared" si="47"/>
        <v>3041665</v>
      </c>
      <c r="AA61" s="62"/>
      <c r="AB61" s="67">
        <f t="shared" si="48"/>
        <v>2765150</v>
      </c>
      <c r="AC61" s="67">
        <f t="shared" si="48"/>
        <v>0</v>
      </c>
      <c r="AD61" s="67">
        <f t="shared" si="48"/>
        <v>0</v>
      </c>
      <c r="AE61" s="67">
        <f t="shared" si="48"/>
        <v>0</v>
      </c>
      <c r="AF61" s="67">
        <f t="shared" si="48"/>
        <v>0</v>
      </c>
      <c r="AG61" s="67">
        <f t="shared" si="48"/>
        <v>0</v>
      </c>
      <c r="AH61" s="67">
        <f t="shared" si="49"/>
        <v>92171.666666666672</v>
      </c>
      <c r="AI61" s="67">
        <f t="shared" si="54"/>
        <v>92171.666666666672</v>
      </c>
      <c r="AJ61" s="67">
        <f t="shared" si="54"/>
        <v>92171.666666666672</v>
      </c>
      <c r="AK61" s="67"/>
      <c r="AL61" s="67"/>
      <c r="AM61" s="67"/>
      <c r="AN61" s="67">
        <f t="shared" si="51"/>
        <v>3041664.9999999995</v>
      </c>
    </row>
    <row r="62" spans="2:40" ht="12" outlineLevel="1" thickBot="1" x14ac:dyDescent="0.3">
      <c r="B62" s="75" t="s">
        <v>151</v>
      </c>
      <c r="C62" s="76"/>
      <c r="D62" s="76"/>
      <c r="E62" s="77">
        <f t="shared" ref="E62:Z62" si="55">SUBTOTAL(9,E34:E61)</f>
        <v>38291</v>
      </c>
      <c r="F62" s="77">
        <f t="shared" si="55"/>
        <v>1045153758.3</v>
      </c>
      <c r="G62" s="77">
        <f t="shared" si="55"/>
        <v>4440081564</v>
      </c>
      <c r="H62" s="77">
        <f t="shared" si="55"/>
        <v>5485235322.3000002</v>
      </c>
      <c r="I62" s="77">
        <f t="shared" si="55"/>
        <v>3354341919</v>
      </c>
      <c r="J62" s="77">
        <f t="shared" si="55"/>
        <v>3372021255</v>
      </c>
      <c r="K62" s="77">
        <f t="shared" si="55"/>
        <v>3033872770</v>
      </c>
      <c r="L62" s="77">
        <f t="shared" si="55"/>
        <v>6028622969</v>
      </c>
      <c r="M62" s="77">
        <f t="shared" si="55"/>
        <v>4440719216.8500004</v>
      </c>
      <c r="N62" s="77">
        <f t="shared" si="55"/>
        <v>2883263596.8699999</v>
      </c>
      <c r="O62" s="77">
        <f t="shared" si="55"/>
        <v>0</v>
      </c>
      <c r="P62" s="77">
        <f t="shared" si="55"/>
        <v>-3382842608</v>
      </c>
      <c r="Q62" s="78">
        <f t="shared" si="55"/>
        <v>25215234441.02</v>
      </c>
      <c r="S62" s="79">
        <f t="shared" si="55"/>
        <v>2742617661.1500001</v>
      </c>
      <c r="T62" s="78">
        <f t="shared" si="55"/>
        <v>1677170959.5</v>
      </c>
      <c r="U62" s="78">
        <f t="shared" si="55"/>
        <v>2023212752.9999998</v>
      </c>
      <c r="V62" s="78">
        <f t="shared" si="55"/>
        <v>2123710939</v>
      </c>
      <c r="W62" s="78">
        <f t="shared" si="55"/>
        <v>4100233619.0889993</v>
      </c>
      <c r="X62" s="78">
        <f t="shared" si="55"/>
        <v>3305189699.8874998</v>
      </c>
      <c r="Y62" s="78">
        <f t="shared" si="55"/>
        <v>925524590.53934991</v>
      </c>
      <c r="Z62" s="78">
        <f t="shared" si="55"/>
        <v>16897660222.165848</v>
      </c>
      <c r="AA62" s="62"/>
      <c r="AB62" s="78">
        <f t="shared" ref="AB62:AN62" si="56">SUBTOTAL(9,AB34:AB61)</f>
        <v>6643210755.1029987</v>
      </c>
      <c r="AC62" s="78">
        <f t="shared" si="56"/>
        <v>1677170959.5</v>
      </c>
      <c r="AD62" s="78">
        <f t="shared" si="56"/>
        <v>2023212752.9999998</v>
      </c>
      <c r="AE62" s="78">
        <f t="shared" si="56"/>
        <v>1323710762</v>
      </c>
      <c r="AF62" s="78">
        <f t="shared" si="56"/>
        <v>3100203253.8889995</v>
      </c>
      <c r="AG62" s="78">
        <f t="shared" si="56"/>
        <v>1342973780.8875</v>
      </c>
      <c r="AH62" s="78">
        <f t="shared" si="56"/>
        <v>262392652.59545001</v>
      </c>
      <c r="AI62" s="78">
        <f t="shared" si="56"/>
        <v>262392652.59545001</v>
      </c>
      <c r="AJ62" s="78">
        <f t="shared" si="56"/>
        <v>262392652.59545001</v>
      </c>
      <c r="AK62" s="78">
        <f t="shared" si="56"/>
        <v>0</v>
      </c>
      <c r="AL62" s="78">
        <f t="shared" si="56"/>
        <v>0</v>
      </c>
      <c r="AM62" s="78">
        <f t="shared" si="56"/>
        <v>0</v>
      </c>
      <c r="AN62" s="78">
        <f t="shared" si="56"/>
        <v>16897660222.165848</v>
      </c>
    </row>
    <row r="63" spans="2:40" outlineLevel="2" x14ac:dyDescent="0.25">
      <c r="B63" s="63" t="s">
        <v>152</v>
      </c>
      <c r="C63" s="64">
        <v>52798233</v>
      </c>
      <c r="D63" s="65" t="s">
        <v>153</v>
      </c>
      <c r="E63" s="66">
        <v>1</v>
      </c>
      <c r="F63" s="66">
        <v>0</v>
      </c>
      <c r="G63" s="66">
        <v>104920</v>
      </c>
      <c r="H63" s="66">
        <f t="shared" si="2"/>
        <v>104920</v>
      </c>
      <c r="I63" s="66">
        <v>0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7">
        <f t="shared" si="41"/>
        <v>104920</v>
      </c>
      <c r="S63" s="68">
        <f>+H63</f>
        <v>104920</v>
      </c>
      <c r="T63" s="67">
        <f t="shared" ref="T63:Y77" si="57">+I63</f>
        <v>0</v>
      </c>
      <c r="U63" s="67">
        <f t="shared" si="57"/>
        <v>0</v>
      </c>
      <c r="V63" s="67">
        <f t="shared" si="57"/>
        <v>0</v>
      </c>
      <c r="W63" s="67">
        <f t="shared" si="57"/>
        <v>0</v>
      </c>
      <c r="X63" s="67">
        <f t="shared" si="57"/>
        <v>0</v>
      </c>
      <c r="Y63" s="67">
        <f t="shared" si="57"/>
        <v>0</v>
      </c>
      <c r="Z63" s="67">
        <f t="shared" ref="Z63:Z77" si="58">+SUM(S63:Y63)</f>
        <v>104920</v>
      </c>
      <c r="AA63" s="62"/>
      <c r="AB63" s="67"/>
      <c r="AC63" s="67"/>
      <c r="AD63" s="67"/>
      <c r="AE63" s="67"/>
      <c r="AF63" s="67"/>
      <c r="AG63" s="67">
        <f>+Z63/2</f>
        <v>52460</v>
      </c>
      <c r="AH63" s="67"/>
      <c r="AI63" s="67"/>
      <c r="AJ63" s="67"/>
      <c r="AK63" s="67"/>
      <c r="AL63" s="67"/>
      <c r="AM63" s="67">
        <f>+AG63</f>
        <v>52460</v>
      </c>
      <c r="AN63" s="67">
        <f t="shared" ref="AN63:AN77" si="59">+SUM(AB63:AM63)</f>
        <v>104920</v>
      </c>
    </row>
    <row r="64" spans="2:40" outlineLevel="2" x14ac:dyDescent="0.25">
      <c r="B64" s="63" t="s">
        <v>152</v>
      </c>
      <c r="C64" s="64">
        <v>800084089</v>
      </c>
      <c r="D64" s="65" t="s">
        <v>154</v>
      </c>
      <c r="E64" s="66">
        <v>0</v>
      </c>
      <c r="F64" s="66">
        <v>0</v>
      </c>
      <c r="G64" s="66">
        <v>0</v>
      </c>
      <c r="H64" s="66">
        <f t="shared" si="2"/>
        <v>0</v>
      </c>
      <c r="I64" s="66">
        <v>0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66">
        <v>-167450</v>
      </c>
      <c r="Q64" s="67">
        <f t="shared" si="41"/>
        <v>-167450</v>
      </c>
      <c r="S64" s="68">
        <f t="shared" ref="S64:S77" si="60">+H64</f>
        <v>0</v>
      </c>
      <c r="T64" s="67">
        <f t="shared" si="57"/>
        <v>0</v>
      </c>
      <c r="U64" s="67">
        <f t="shared" si="57"/>
        <v>0</v>
      </c>
      <c r="V64" s="67">
        <f t="shared" si="57"/>
        <v>0</v>
      </c>
      <c r="W64" s="67">
        <f t="shared" si="57"/>
        <v>0</v>
      </c>
      <c r="X64" s="67">
        <f t="shared" si="57"/>
        <v>0</v>
      </c>
      <c r="Y64" s="67">
        <f t="shared" si="57"/>
        <v>0</v>
      </c>
      <c r="Z64" s="67">
        <f t="shared" si="58"/>
        <v>0</v>
      </c>
      <c r="AA64" s="62"/>
      <c r="AB64" s="67"/>
      <c r="AC64" s="67"/>
      <c r="AD64" s="67"/>
      <c r="AE64" s="67"/>
      <c r="AF64" s="67"/>
      <c r="AG64" s="67">
        <f t="shared" ref="AG64:AG77" si="61">+Z64/2</f>
        <v>0</v>
      </c>
      <c r="AH64" s="67"/>
      <c r="AI64" s="67"/>
      <c r="AJ64" s="67"/>
      <c r="AK64" s="67"/>
      <c r="AL64" s="67"/>
      <c r="AM64" s="67">
        <f t="shared" ref="AM64:AM77" si="62">+AG64</f>
        <v>0</v>
      </c>
      <c r="AN64" s="67">
        <f t="shared" si="59"/>
        <v>0</v>
      </c>
    </row>
    <row r="65" spans="2:40" outlineLevel="2" x14ac:dyDescent="0.25">
      <c r="B65" s="63" t="s">
        <v>152</v>
      </c>
      <c r="C65" s="64">
        <v>800225340</v>
      </c>
      <c r="D65" s="65" t="s">
        <v>155</v>
      </c>
      <c r="E65" s="66">
        <v>7</v>
      </c>
      <c r="F65" s="66">
        <v>0</v>
      </c>
      <c r="G65" s="66">
        <v>40068754</v>
      </c>
      <c r="H65" s="66">
        <f t="shared" si="2"/>
        <v>40068754</v>
      </c>
      <c r="I65" s="66">
        <v>0</v>
      </c>
      <c r="J65" s="66">
        <v>0</v>
      </c>
      <c r="K65" s="66">
        <v>0</v>
      </c>
      <c r="L65" s="66">
        <v>0</v>
      </c>
      <c r="M65" s="66">
        <v>8583109</v>
      </c>
      <c r="N65" s="66">
        <v>20343667</v>
      </c>
      <c r="O65" s="66">
        <v>0</v>
      </c>
      <c r="P65" s="66">
        <v>0</v>
      </c>
      <c r="Q65" s="67">
        <f t="shared" si="41"/>
        <v>68995530</v>
      </c>
      <c r="S65" s="68">
        <f t="shared" si="60"/>
        <v>40068754</v>
      </c>
      <c r="T65" s="67">
        <f t="shared" si="57"/>
        <v>0</v>
      </c>
      <c r="U65" s="67">
        <f t="shared" si="57"/>
        <v>0</v>
      </c>
      <c r="V65" s="67">
        <f t="shared" si="57"/>
        <v>0</v>
      </c>
      <c r="W65" s="67">
        <f t="shared" si="57"/>
        <v>0</v>
      </c>
      <c r="X65" s="67">
        <f t="shared" si="57"/>
        <v>8583109</v>
      </c>
      <c r="Y65" s="67">
        <f t="shared" si="57"/>
        <v>20343667</v>
      </c>
      <c r="Z65" s="67">
        <f t="shared" si="58"/>
        <v>68995530</v>
      </c>
      <c r="AA65" s="62"/>
      <c r="AB65" s="67"/>
      <c r="AC65" s="67"/>
      <c r="AD65" s="67"/>
      <c r="AE65" s="67"/>
      <c r="AF65" s="67"/>
      <c r="AG65" s="67">
        <f t="shared" si="61"/>
        <v>34497765</v>
      </c>
      <c r="AH65" s="67"/>
      <c r="AI65" s="67"/>
      <c r="AJ65" s="67"/>
      <c r="AK65" s="67"/>
      <c r="AL65" s="67"/>
      <c r="AM65" s="67">
        <f t="shared" si="62"/>
        <v>34497765</v>
      </c>
      <c r="AN65" s="67">
        <f t="shared" si="59"/>
        <v>68995530</v>
      </c>
    </row>
    <row r="66" spans="2:40" outlineLevel="2" x14ac:dyDescent="0.25">
      <c r="B66" s="63" t="s">
        <v>152</v>
      </c>
      <c r="C66" s="64">
        <v>800250596</v>
      </c>
      <c r="D66" s="65" t="s">
        <v>156</v>
      </c>
      <c r="E66" s="66">
        <v>2</v>
      </c>
      <c r="F66" s="66">
        <v>0</v>
      </c>
      <c r="G66" s="66">
        <v>828000</v>
      </c>
      <c r="H66" s="66">
        <f t="shared" si="2"/>
        <v>828000</v>
      </c>
      <c r="I66" s="66">
        <v>0</v>
      </c>
      <c r="J66" s="66">
        <v>0</v>
      </c>
      <c r="K66" s="66">
        <v>0</v>
      </c>
      <c r="L66" s="66">
        <v>0</v>
      </c>
      <c r="M66" s="66">
        <v>261921</v>
      </c>
      <c r="N66" s="66">
        <v>0</v>
      </c>
      <c r="O66" s="66">
        <v>0</v>
      </c>
      <c r="P66" s="66">
        <v>0</v>
      </c>
      <c r="Q66" s="67">
        <f t="shared" si="41"/>
        <v>1089921</v>
      </c>
      <c r="S66" s="68">
        <f t="shared" si="60"/>
        <v>828000</v>
      </c>
      <c r="T66" s="67">
        <f t="shared" si="57"/>
        <v>0</v>
      </c>
      <c r="U66" s="67">
        <f t="shared" si="57"/>
        <v>0</v>
      </c>
      <c r="V66" s="67">
        <f t="shared" si="57"/>
        <v>0</v>
      </c>
      <c r="W66" s="67">
        <f t="shared" si="57"/>
        <v>0</v>
      </c>
      <c r="X66" s="67">
        <f t="shared" si="57"/>
        <v>261921</v>
      </c>
      <c r="Y66" s="67">
        <f t="shared" si="57"/>
        <v>0</v>
      </c>
      <c r="Z66" s="67">
        <f t="shared" si="58"/>
        <v>1089921</v>
      </c>
      <c r="AA66" s="62"/>
      <c r="AB66" s="67"/>
      <c r="AC66" s="67"/>
      <c r="AD66" s="67"/>
      <c r="AE66" s="67"/>
      <c r="AF66" s="67"/>
      <c r="AG66" s="67">
        <f t="shared" si="61"/>
        <v>544960.5</v>
      </c>
      <c r="AH66" s="67"/>
      <c r="AI66" s="67"/>
      <c r="AJ66" s="67"/>
      <c r="AK66" s="67"/>
      <c r="AL66" s="67"/>
      <c r="AM66" s="67">
        <f t="shared" si="62"/>
        <v>544960.5</v>
      </c>
      <c r="AN66" s="67">
        <f t="shared" si="59"/>
        <v>1089921</v>
      </c>
    </row>
    <row r="67" spans="2:40" outlineLevel="2" x14ac:dyDescent="0.25">
      <c r="B67" s="63" t="s">
        <v>152</v>
      </c>
      <c r="C67" s="64">
        <v>830007606</v>
      </c>
      <c r="D67" s="65" t="s">
        <v>157</v>
      </c>
      <c r="E67" s="66">
        <v>1</v>
      </c>
      <c r="F67" s="66">
        <v>0</v>
      </c>
      <c r="G67" s="66">
        <v>19091</v>
      </c>
      <c r="H67" s="66">
        <f t="shared" si="2"/>
        <v>19091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7">
        <f t="shared" si="41"/>
        <v>19091</v>
      </c>
      <c r="S67" s="68">
        <f t="shared" si="60"/>
        <v>19091</v>
      </c>
      <c r="T67" s="67">
        <f t="shared" si="57"/>
        <v>0</v>
      </c>
      <c r="U67" s="67">
        <f t="shared" si="57"/>
        <v>0</v>
      </c>
      <c r="V67" s="67">
        <f t="shared" si="57"/>
        <v>0</v>
      </c>
      <c r="W67" s="67">
        <f t="shared" si="57"/>
        <v>0</v>
      </c>
      <c r="X67" s="67">
        <f t="shared" si="57"/>
        <v>0</v>
      </c>
      <c r="Y67" s="67">
        <f t="shared" si="57"/>
        <v>0</v>
      </c>
      <c r="Z67" s="67">
        <f t="shared" si="58"/>
        <v>19091</v>
      </c>
      <c r="AA67" s="62"/>
      <c r="AB67" s="67"/>
      <c r="AC67" s="67"/>
      <c r="AD67" s="67"/>
      <c r="AE67" s="67"/>
      <c r="AF67" s="67"/>
      <c r="AG67" s="67">
        <f t="shared" si="61"/>
        <v>9545.5</v>
      </c>
      <c r="AH67" s="67"/>
      <c r="AI67" s="67"/>
      <c r="AJ67" s="67"/>
      <c r="AK67" s="67"/>
      <c r="AL67" s="67"/>
      <c r="AM67" s="67">
        <f t="shared" si="62"/>
        <v>9545.5</v>
      </c>
      <c r="AN67" s="67">
        <f t="shared" si="59"/>
        <v>19091</v>
      </c>
    </row>
    <row r="68" spans="2:40" outlineLevel="2" x14ac:dyDescent="0.25">
      <c r="B68" s="63" t="s">
        <v>152</v>
      </c>
      <c r="C68" s="64">
        <v>860007386</v>
      </c>
      <c r="D68" s="65" t="s">
        <v>158</v>
      </c>
      <c r="E68" s="66">
        <v>1</v>
      </c>
      <c r="F68" s="66">
        <v>0</v>
      </c>
      <c r="G68" s="66">
        <v>2762679</v>
      </c>
      <c r="H68" s="66">
        <f t="shared" si="2"/>
        <v>2762679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-2762679</v>
      </c>
      <c r="Q68" s="67">
        <f t="shared" si="41"/>
        <v>0</v>
      </c>
      <c r="S68" s="68">
        <f t="shared" si="60"/>
        <v>2762679</v>
      </c>
      <c r="T68" s="67">
        <f t="shared" si="57"/>
        <v>0</v>
      </c>
      <c r="U68" s="67">
        <f t="shared" si="57"/>
        <v>0</v>
      </c>
      <c r="V68" s="67">
        <f t="shared" si="57"/>
        <v>0</v>
      </c>
      <c r="W68" s="67">
        <f t="shared" si="57"/>
        <v>0</v>
      </c>
      <c r="X68" s="67">
        <f t="shared" si="57"/>
        <v>0</v>
      </c>
      <c r="Y68" s="67">
        <f t="shared" si="57"/>
        <v>0</v>
      </c>
      <c r="Z68" s="67">
        <f t="shared" si="58"/>
        <v>2762679</v>
      </c>
      <c r="AA68" s="62"/>
      <c r="AB68" s="67"/>
      <c r="AC68" s="67"/>
      <c r="AD68" s="67"/>
      <c r="AE68" s="67"/>
      <c r="AF68" s="67"/>
      <c r="AG68" s="67">
        <f t="shared" si="61"/>
        <v>1381339.5</v>
      </c>
      <c r="AH68" s="67"/>
      <c r="AI68" s="67"/>
      <c r="AJ68" s="67"/>
      <c r="AK68" s="67"/>
      <c r="AL68" s="67"/>
      <c r="AM68" s="67">
        <f t="shared" si="62"/>
        <v>1381339.5</v>
      </c>
      <c r="AN68" s="67">
        <f t="shared" si="59"/>
        <v>2762679</v>
      </c>
    </row>
    <row r="69" spans="2:40" outlineLevel="2" x14ac:dyDescent="0.25">
      <c r="B69" s="63" t="s">
        <v>152</v>
      </c>
      <c r="C69" s="64">
        <v>860013720</v>
      </c>
      <c r="D69" s="65" t="s">
        <v>159</v>
      </c>
      <c r="E69" s="66">
        <v>3</v>
      </c>
      <c r="F69" s="66">
        <v>0</v>
      </c>
      <c r="G69" s="66">
        <v>29368639</v>
      </c>
      <c r="H69" s="66">
        <f t="shared" si="2"/>
        <v>29368639</v>
      </c>
      <c r="I69" s="66">
        <v>0</v>
      </c>
      <c r="J69" s="66">
        <v>0</v>
      </c>
      <c r="K69" s="66">
        <v>0</v>
      </c>
      <c r="L69" s="66">
        <v>0</v>
      </c>
      <c r="M69" s="66">
        <v>4152703</v>
      </c>
      <c r="N69" s="66">
        <v>0</v>
      </c>
      <c r="O69" s="66">
        <v>0</v>
      </c>
      <c r="P69" s="66">
        <v>0</v>
      </c>
      <c r="Q69" s="67">
        <f t="shared" si="41"/>
        <v>33521342</v>
      </c>
      <c r="S69" s="68">
        <f t="shared" si="60"/>
        <v>29368639</v>
      </c>
      <c r="T69" s="67">
        <f t="shared" si="57"/>
        <v>0</v>
      </c>
      <c r="U69" s="67">
        <f t="shared" si="57"/>
        <v>0</v>
      </c>
      <c r="V69" s="67">
        <f t="shared" si="57"/>
        <v>0</v>
      </c>
      <c r="W69" s="67">
        <f t="shared" si="57"/>
        <v>0</v>
      </c>
      <c r="X69" s="67">
        <f t="shared" si="57"/>
        <v>4152703</v>
      </c>
      <c r="Y69" s="67">
        <f t="shared" si="57"/>
        <v>0</v>
      </c>
      <c r="Z69" s="67">
        <f t="shared" si="58"/>
        <v>33521342</v>
      </c>
      <c r="AA69" s="62"/>
      <c r="AB69" s="67"/>
      <c r="AC69" s="67"/>
      <c r="AD69" s="67"/>
      <c r="AE69" s="67"/>
      <c r="AF69" s="67"/>
      <c r="AG69" s="67">
        <f t="shared" si="61"/>
        <v>16760671</v>
      </c>
      <c r="AH69" s="67"/>
      <c r="AI69" s="67"/>
      <c r="AJ69" s="67"/>
      <c r="AK69" s="67"/>
      <c r="AL69" s="67"/>
      <c r="AM69" s="67">
        <f t="shared" si="62"/>
        <v>16760671</v>
      </c>
      <c r="AN69" s="67">
        <f t="shared" si="59"/>
        <v>33521342</v>
      </c>
    </row>
    <row r="70" spans="2:40" outlineLevel="2" x14ac:dyDescent="0.25">
      <c r="B70" s="63" t="s">
        <v>152</v>
      </c>
      <c r="C70" s="64">
        <v>860056070</v>
      </c>
      <c r="D70" s="65" t="s">
        <v>160</v>
      </c>
      <c r="E70" s="66">
        <v>1</v>
      </c>
      <c r="F70" s="66">
        <v>0</v>
      </c>
      <c r="G70" s="66">
        <v>0</v>
      </c>
      <c r="H70" s="66">
        <f t="shared" si="2"/>
        <v>0</v>
      </c>
      <c r="I70" s="66">
        <v>0</v>
      </c>
      <c r="J70" s="66">
        <v>334670809.04000002</v>
      </c>
      <c r="K70" s="66">
        <v>0</v>
      </c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67">
        <f t="shared" si="41"/>
        <v>334670809.04000002</v>
      </c>
      <c r="S70" s="68">
        <f t="shared" si="60"/>
        <v>0</v>
      </c>
      <c r="T70" s="67">
        <f t="shared" si="57"/>
        <v>0</v>
      </c>
      <c r="U70" s="67">
        <f t="shared" si="57"/>
        <v>334670809.04000002</v>
      </c>
      <c r="V70" s="67">
        <f t="shared" si="57"/>
        <v>0</v>
      </c>
      <c r="W70" s="67">
        <f t="shared" si="57"/>
        <v>0</v>
      </c>
      <c r="X70" s="67">
        <f t="shared" si="57"/>
        <v>0</v>
      </c>
      <c r="Y70" s="67">
        <f t="shared" si="57"/>
        <v>0</v>
      </c>
      <c r="Z70" s="67">
        <f t="shared" si="58"/>
        <v>334670809.04000002</v>
      </c>
      <c r="AA70" s="62"/>
      <c r="AB70" s="67"/>
      <c r="AC70" s="67"/>
      <c r="AD70" s="67"/>
      <c r="AE70" s="67"/>
      <c r="AF70" s="67"/>
      <c r="AG70" s="67">
        <f t="shared" si="61"/>
        <v>167335404.52000001</v>
      </c>
      <c r="AH70" s="67"/>
      <c r="AI70" s="67"/>
      <c r="AJ70" s="67"/>
      <c r="AK70" s="67"/>
      <c r="AL70" s="67"/>
      <c r="AM70" s="67">
        <f t="shared" si="62"/>
        <v>167335404.52000001</v>
      </c>
      <c r="AN70" s="67">
        <f t="shared" si="59"/>
        <v>334670809.04000002</v>
      </c>
    </row>
    <row r="71" spans="2:40" outlineLevel="2" x14ac:dyDescent="0.25">
      <c r="B71" s="63" t="s">
        <v>152</v>
      </c>
      <c r="C71" s="64">
        <v>860075558</v>
      </c>
      <c r="D71" s="65" t="s">
        <v>161</v>
      </c>
      <c r="E71" s="66">
        <v>3</v>
      </c>
      <c r="F71" s="66">
        <v>0</v>
      </c>
      <c r="G71" s="66">
        <v>195872478</v>
      </c>
      <c r="H71" s="66">
        <f t="shared" si="2"/>
        <v>195872478</v>
      </c>
      <c r="I71" s="66">
        <v>0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7">
        <f t="shared" si="41"/>
        <v>195872478</v>
      </c>
      <c r="S71" s="68">
        <f t="shared" si="60"/>
        <v>195872478</v>
      </c>
      <c r="T71" s="67">
        <f t="shared" si="57"/>
        <v>0</v>
      </c>
      <c r="U71" s="67">
        <f t="shared" si="57"/>
        <v>0</v>
      </c>
      <c r="V71" s="67">
        <f t="shared" si="57"/>
        <v>0</v>
      </c>
      <c r="W71" s="67">
        <f t="shared" si="57"/>
        <v>0</v>
      </c>
      <c r="X71" s="67">
        <f t="shared" si="57"/>
        <v>0</v>
      </c>
      <c r="Y71" s="67">
        <f t="shared" si="57"/>
        <v>0</v>
      </c>
      <c r="Z71" s="67">
        <f t="shared" si="58"/>
        <v>195872478</v>
      </c>
      <c r="AA71" s="62"/>
      <c r="AB71" s="67"/>
      <c r="AC71" s="67"/>
      <c r="AD71" s="67"/>
      <c r="AE71" s="67"/>
      <c r="AF71" s="67"/>
      <c r="AG71" s="67">
        <f t="shared" si="61"/>
        <v>97936239</v>
      </c>
      <c r="AH71" s="67"/>
      <c r="AI71" s="67"/>
      <c r="AJ71" s="67"/>
      <c r="AK71" s="67"/>
      <c r="AL71" s="67"/>
      <c r="AM71" s="67">
        <f t="shared" si="62"/>
        <v>97936239</v>
      </c>
      <c r="AN71" s="67">
        <f t="shared" si="59"/>
        <v>195872478</v>
      </c>
    </row>
    <row r="72" spans="2:40" outlineLevel="2" x14ac:dyDescent="0.25">
      <c r="B72" s="63" t="s">
        <v>152</v>
      </c>
      <c r="C72" s="64">
        <v>860401496</v>
      </c>
      <c r="D72" s="65" t="s">
        <v>162</v>
      </c>
      <c r="E72" s="66">
        <v>1</v>
      </c>
      <c r="F72" s="66">
        <v>0</v>
      </c>
      <c r="G72" s="66">
        <v>26174870</v>
      </c>
      <c r="H72" s="66">
        <f t="shared" si="2"/>
        <v>26174870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7">
        <f t="shared" si="41"/>
        <v>26174870</v>
      </c>
      <c r="S72" s="68">
        <f t="shared" si="60"/>
        <v>26174870</v>
      </c>
      <c r="T72" s="67">
        <f t="shared" si="57"/>
        <v>0</v>
      </c>
      <c r="U72" s="67">
        <f t="shared" si="57"/>
        <v>0</v>
      </c>
      <c r="V72" s="67">
        <f t="shared" si="57"/>
        <v>0</v>
      </c>
      <c r="W72" s="67">
        <f t="shared" si="57"/>
        <v>0</v>
      </c>
      <c r="X72" s="67">
        <f t="shared" si="57"/>
        <v>0</v>
      </c>
      <c r="Y72" s="67">
        <f t="shared" si="57"/>
        <v>0</v>
      </c>
      <c r="Z72" s="67">
        <f t="shared" si="58"/>
        <v>26174870</v>
      </c>
      <c r="AA72" s="62"/>
      <c r="AB72" s="67"/>
      <c r="AC72" s="67"/>
      <c r="AD72" s="67"/>
      <c r="AE72" s="67"/>
      <c r="AF72" s="67"/>
      <c r="AG72" s="67">
        <f t="shared" si="61"/>
        <v>13087435</v>
      </c>
      <c r="AH72" s="67"/>
      <c r="AI72" s="67"/>
      <c r="AJ72" s="67"/>
      <c r="AK72" s="67"/>
      <c r="AL72" s="67"/>
      <c r="AM72" s="67">
        <f t="shared" si="62"/>
        <v>13087435</v>
      </c>
      <c r="AN72" s="67">
        <f t="shared" si="59"/>
        <v>26174870</v>
      </c>
    </row>
    <row r="73" spans="2:40" outlineLevel="2" x14ac:dyDescent="0.25">
      <c r="B73" s="63" t="s">
        <v>152</v>
      </c>
      <c r="C73" s="64">
        <v>860517302</v>
      </c>
      <c r="D73" s="65" t="s">
        <v>163</v>
      </c>
      <c r="E73" s="66">
        <v>2</v>
      </c>
      <c r="F73" s="66">
        <v>0</v>
      </c>
      <c r="G73" s="66">
        <v>55333588</v>
      </c>
      <c r="H73" s="66">
        <f t="shared" si="2"/>
        <v>55333588</v>
      </c>
      <c r="I73" s="66">
        <v>0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67">
        <f t="shared" si="41"/>
        <v>55333588</v>
      </c>
      <c r="S73" s="68">
        <f t="shared" si="60"/>
        <v>55333588</v>
      </c>
      <c r="T73" s="67">
        <f t="shared" si="57"/>
        <v>0</v>
      </c>
      <c r="U73" s="67">
        <f t="shared" si="57"/>
        <v>0</v>
      </c>
      <c r="V73" s="67">
        <f t="shared" si="57"/>
        <v>0</v>
      </c>
      <c r="W73" s="67">
        <f t="shared" si="57"/>
        <v>0</v>
      </c>
      <c r="X73" s="67">
        <f t="shared" si="57"/>
        <v>0</v>
      </c>
      <c r="Y73" s="67">
        <f t="shared" si="57"/>
        <v>0</v>
      </c>
      <c r="Z73" s="67">
        <f t="shared" si="58"/>
        <v>55333588</v>
      </c>
      <c r="AA73" s="62"/>
      <c r="AB73" s="67"/>
      <c r="AC73" s="67"/>
      <c r="AD73" s="67"/>
      <c r="AE73" s="67"/>
      <c r="AF73" s="67"/>
      <c r="AG73" s="67">
        <f t="shared" si="61"/>
        <v>27666794</v>
      </c>
      <c r="AH73" s="67"/>
      <c r="AI73" s="67"/>
      <c r="AJ73" s="67"/>
      <c r="AK73" s="67"/>
      <c r="AL73" s="67"/>
      <c r="AM73" s="67">
        <f t="shared" si="62"/>
        <v>27666794</v>
      </c>
      <c r="AN73" s="67">
        <f t="shared" si="59"/>
        <v>55333588</v>
      </c>
    </row>
    <row r="74" spans="2:40" outlineLevel="2" x14ac:dyDescent="0.25">
      <c r="B74" s="63" t="s">
        <v>152</v>
      </c>
      <c r="C74" s="64">
        <v>860517647</v>
      </c>
      <c r="D74" s="65" t="s">
        <v>164</v>
      </c>
      <c r="E74" s="66">
        <v>1</v>
      </c>
      <c r="F74" s="66">
        <v>0</v>
      </c>
      <c r="G74" s="66">
        <v>3045239</v>
      </c>
      <c r="H74" s="66">
        <f t="shared" si="2"/>
        <v>3045239</v>
      </c>
      <c r="I74" s="66">
        <v>0</v>
      </c>
      <c r="J74" s="66">
        <v>0</v>
      </c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7">
        <f t="shared" si="41"/>
        <v>3045239</v>
      </c>
      <c r="S74" s="68">
        <f t="shared" si="60"/>
        <v>3045239</v>
      </c>
      <c r="T74" s="67">
        <f t="shared" si="57"/>
        <v>0</v>
      </c>
      <c r="U74" s="67">
        <f t="shared" si="57"/>
        <v>0</v>
      </c>
      <c r="V74" s="67">
        <f t="shared" si="57"/>
        <v>0</v>
      </c>
      <c r="W74" s="67">
        <f t="shared" si="57"/>
        <v>0</v>
      </c>
      <c r="X74" s="67">
        <f t="shared" si="57"/>
        <v>0</v>
      </c>
      <c r="Y74" s="67">
        <f t="shared" si="57"/>
        <v>0</v>
      </c>
      <c r="Z74" s="67">
        <f t="shared" si="58"/>
        <v>3045239</v>
      </c>
      <c r="AA74" s="62"/>
      <c r="AB74" s="67"/>
      <c r="AC74" s="67"/>
      <c r="AD74" s="67"/>
      <c r="AE74" s="67"/>
      <c r="AF74" s="67"/>
      <c r="AG74" s="67">
        <f t="shared" si="61"/>
        <v>1522619.5</v>
      </c>
      <c r="AH74" s="67"/>
      <c r="AI74" s="67"/>
      <c r="AJ74" s="67"/>
      <c r="AK74" s="67"/>
      <c r="AL74" s="67"/>
      <c r="AM74" s="67">
        <f t="shared" si="62"/>
        <v>1522619.5</v>
      </c>
      <c r="AN74" s="67">
        <f t="shared" si="59"/>
        <v>3045239</v>
      </c>
    </row>
    <row r="75" spans="2:40" outlineLevel="2" x14ac:dyDescent="0.25">
      <c r="B75" s="63" t="s">
        <v>152</v>
      </c>
      <c r="C75" s="64">
        <v>860535328</v>
      </c>
      <c r="D75" s="65" t="s">
        <v>165</v>
      </c>
      <c r="E75" s="66">
        <v>1</v>
      </c>
      <c r="F75" s="66">
        <v>0</v>
      </c>
      <c r="G75" s="66">
        <v>451111</v>
      </c>
      <c r="H75" s="66">
        <f t="shared" si="2"/>
        <v>451111</v>
      </c>
      <c r="I75" s="66">
        <v>0</v>
      </c>
      <c r="J75" s="66">
        <v>0</v>
      </c>
      <c r="K75" s="66">
        <v>0</v>
      </c>
      <c r="L75" s="66">
        <v>0</v>
      </c>
      <c r="M75" s="66">
        <v>0</v>
      </c>
      <c r="N75" s="66">
        <v>0</v>
      </c>
      <c r="O75" s="66">
        <v>0</v>
      </c>
      <c r="P75" s="66">
        <v>0</v>
      </c>
      <c r="Q75" s="67">
        <f t="shared" si="41"/>
        <v>451111</v>
      </c>
      <c r="S75" s="68">
        <f t="shared" si="60"/>
        <v>451111</v>
      </c>
      <c r="T75" s="67">
        <f t="shared" si="57"/>
        <v>0</v>
      </c>
      <c r="U75" s="67">
        <f t="shared" si="57"/>
        <v>0</v>
      </c>
      <c r="V75" s="67">
        <f t="shared" si="57"/>
        <v>0</v>
      </c>
      <c r="W75" s="67">
        <f t="shared" si="57"/>
        <v>0</v>
      </c>
      <c r="X75" s="67">
        <f t="shared" si="57"/>
        <v>0</v>
      </c>
      <c r="Y75" s="67">
        <f t="shared" si="57"/>
        <v>0</v>
      </c>
      <c r="Z75" s="67">
        <f t="shared" si="58"/>
        <v>451111</v>
      </c>
      <c r="AA75" s="62"/>
      <c r="AB75" s="67"/>
      <c r="AC75" s="67"/>
      <c r="AD75" s="67"/>
      <c r="AE75" s="67"/>
      <c r="AF75" s="67"/>
      <c r="AG75" s="67">
        <f t="shared" si="61"/>
        <v>225555.5</v>
      </c>
      <c r="AH75" s="67"/>
      <c r="AI75" s="67"/>
      <c r="AJ75" s="67"/>
      <c r="AK75" s="67"/>
      <c r="AL75" s="67"/>
      <c r="AM75" s="67">
        <f t="shared" si="62"/>
        <v>225555.5</v>
      </c>
      <c r="AN75" s="67">
        <f t="shared" si="59"/>
        <v>451111</v>
      </c>
    </row>
    <row r="76" spans="2:40" outlineLevel="2" x14ac:dyDescent="0.25">
      <c r="B76" s="63" t="s">
        <v>152</v>
      </c>
      <c r="C76" s="64">
        <v>890480123</v>
      </c>
      <c r="D76" s="65" t="s">
        <v>166</v>
      </c>
      <c r="E76" s="66">
        <v>3</v>
      </c>
      <c r="F76" s="66">
        <v>0</v>
      </c>
      <c r="G76" s="66">
        <v>0</v>
      </c>
      <c r="H76" s="66">
        <f t="shared" si="2"/>
        <v>0</v>
      </c>
      <c r="I76" s="66">
        <v>0</v>
      </c>
      <c r="J76" s="66">
        <v>0</v>
      </c>
      <c r="K76" s="66">
        <v>0</v>
      </c>
      <c r="L76" s="66">
        <v>0</v>
      </c>
      <c r="M76" s="66">
        <v>1128000</v>
      </c>
      <c r="N76" s="66">
        <v>2292365</v>
      </c>
      <c r="O76" s="66">
        <v>0</v>
      </c>
      <c r="P76" s="66">
        <v>0</v>
      </c>
      <c r="Q76" s="67">
        <f t="shared" si="41"/>
        <v>3420365</v>
      </c>
      <c r="S76" s="68">
        <f t="shared" si="60"/>
        <v>0</v>
      </c>
      <c r="T76" s="67">
        <f t="shared" si="57"/>
        <v>0</v>
      </c>
      <c r="U76" s="67">
        <f t="shared" si="57"/>
        <v>0</v>
      </c>
      <c r="V76" s="67">
        <f t="shared" si="57"/>
        <v>0</v>
      </c>
      <c r="W76" s="67">
        <f t="shared" si="57"/>
        <v>0</v>
      </c>
      <c r="X76" s="67">
        <f t="shared" si="57"/>
        <v>1128000</v>
      </c>
      <c r="Y76" s="67">
        <f t="shared" si="57"/>
        <v>2292365</v>
      </c>
      <c r="Z76" s="67">
        <f t="shared" si="58"/>
        <v>3420365</v>
      </c>
      <c r="AA76" s="62"/>
      <c r="AB76" s="67"/>
      <c r="AC76" s="67"/>
      <c r="AD76" s="67"/>
      <c r="AE76" s="67"/>
      <c r="AF76" s="67"/>
      <c r="AG76" s="67">
        <f t="shared" si="61"/>
        <v>1710182.5</v>
      </c>
      <c r="AH76" s="67"/>
      <c r="AI76" s="67"/>
      <c r="AJ76" s="67"/>
      <c r="AK76" s="67"/>
      <c r="AL76" s="67"/>
      <c r="AM76" s="67">
        <f t="shared" si="62"/>
        <v>1710182.5</v>
      </c>
      <c r="AN76" s="67">
        <f t="shared" si="59"/>
        <v>3420365</v>
      </c>
    </row>
    <row r="77" spans="2:40" ht="12" outlineLevel="2" thickBot="1" x14ac:dyDescent="0.3">
      <c r="B77" s="63" t="s">
        <v>152</v>
      </c>
      <c r="C77" s="64">
        <v>891000692</v>
      </c>
      <c r="D77" s="65" t="s">
        <v>167</v>
      </c>
      <c r="E77" s="66">
        <v>1</v>
      </c>
      <c r="F77" s="66">
        <v>0</v>
      </c>
      <c r="G77" s="66">
        <v>0</v>
      </c>
      <c r="H77" s="66">
        <f t="shared" ref="H77:H143" si="63">+F77+G77</f>
        <v>0</v>
      </c>
      <c r="I77" s="66">
        <v>0</v>
      </c>
      <c r="J77" s="66">
        <v>0</v>
      </c>
      <c r="K77" s="66">
        <v>4167221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67">
        <f t="shared" si="41"/>
        <v>4167221</v>
      </c>
      <c r="S77" s="68">
        <f t="shared" si="60"/>
        <v>0</v>
      </c>
      <c r="T77" s="67">
        <f t="shared" si="57"/>
        <v>0</v>
      </c>
      <c r="U77" s="67">
        <f t="shared" si="57"/>
        <v>0</v>
      </c>
      <c r="V77" s="67">
        <f t="shared" si="57"/>
        <v>4167221</v>
      </c>
      <c r="W77" s="67">
        <f t="shared" si="57"/>
        <v>0</v>
      </c>
      <c r="X77" s="67">
        <f t="shared" si="57"/>
        <v>0</v>
      </c>
      <c r="Y77" s="67">
        <f t="shared" si="57"/>
        <v>0</v>
      </c>
      <c r="Z77" s="67">
        <f t="shared" si="58"/>
        <v>4167221</v>
      </c>
      <c r="AA77" s="62"/>
      <c r="AB77" s="67"/>
      <c r="AC77" s="67"/>
      <c r="AD77" s="67"/>
      <c r="AE77" s="67"/>
      <c r="AF77" s="67"/>
      <c r="AG77" s="67">
        <f t="shared" si="61"/>
        <v>2083610.5</v>
      </c>
      <c r="AH77" s="67"/>
      <c r="AI77" s="67"/>
      <c r="AJ77" s="67"/>
      <c r="AK77" s="67"/>
      <c r="AL77" s="67"/>
      <c r="AM77" s="67">
        <f t="shared" si="62"/>
        <v>2083610.5</v>
      </c>
      <c r="AN77" s="67">
        <f t="shared" si="59"/>
        <v>4167221</v>
      </c>
    </row>
    <row r="78" spans="2:40" ht="12" outlineLevel="1" thickBot="1" x14ac:dyDescent="0.3">
      <c r="B78" s="75" t="s">
        <v>168</v>
      </c>
      <c r="C78" s="76"/>
      <c r="D78" s="76"/>
      <c r="E78" s="77">
        <f t="shared" ref="E78:Z78" si="64">SUBTOTAL(9,E63:E77)</f>
        <v>28</v>
      </c>
      <c r="F78" s="77">
        <f t="shared" si="64"/>
        <v>0</v>
      </c>
      <c r="G78" s="77">
        <f t="shared" si="64"/>
        <v>354029369</v>
      </c>
      <c r="H78" s="77">
        <f t="shared" si="64"/>
        <v>354029369</v>
      </c>
      <c r="I78" s="77">
        <f t="shared" si="64"/>
        <v>0</v>
      </c>
      <c r="J78" s="77">
        <f t="shared" si="64"/>
        <v>334670809.04000002</v>
      </c>
      <c r="K78" s="77">
        <f t="shared" si="64"/>
        <v>4167221</v>
      </c>
      <c r="L78" s="77">
        <f t="shared" si="64"/>
        <v>0</v>
      </c>
      <c r="M78" s="77">
        <f t="shared" si="64"/>
        <v>14125733</v>
      </c>
      <c r="N78" s="77">
        <f t="shared" si="64"/>
        <v>22636032</v>
      </c>
      <c r="O78" s="77">
        <f t="shared" si="64"/>
        <v>0</v>
      </c>
      <c r="P78" s="77">
        <f t="shared" si="64"/>
        <v>-2930129</v>
      </c>
      <c r="Q78" s="78">
        <f t="shared" si="64"/>
        <v>726699035.03999996</v>
      </c>
      <c r="S78" s="79">
        <f t="shared" si="64"/>
        <v>354029369</v>
      </c>
      <c r="T78" s="78">
        <f t="shared" si="64"/>
        <v>0</v>
      </c>
      <c r="U78" s="78">
        <f t="shared" si="64"/>
        <v>334670809.04000002</v>
      </c>
      <c r="V78" s="78">
        <f t="shared" si="64"/>
        <v>4167221</v>
      </c>
      <c r="W78" s="78">
        <f t="shared" si="64"/>
        <v>0</v>
      </c>
      <c r="X78" s="78">
        <f t="shared" si="64"/>
        <v>14125733</v>
      </c>
      <c r="Y78" s="78">
        <f t="shared" si="64"/>
        <v>22636032</v>
      </c>
      <c r="Z78" s="78">
        <f t="shared" si="64"/>
        <v>729629164.03999996</v>
      </c>
      <c r="AA78" s="62"/>
      <c r="AB78" s="78">
        <f t="shared" ref="AB78:AN78" si="65">SUBTOTAL(9,AB63:AB77)</f>
        <v>0</v>
      </c>
      <c r="AC78" s="78">
        <f t="shared" si="65"/>
        <v>0</v>
      </c>
      <c r="AD78" s="78">
        <f t="shared" si="65"/>
        <v>0</v>
      </c>
      <c r="AE78" s="78">
        <f t="shared" si="65"/>
        <v>0</v>
      </c>
      <c r="AF78" s="78">
        <f t="shared" si="65"/>
        <v>0</v>
      </c>
      <c r="AG78" s="78">
        <f t="shared" si="65"/>
        <v>364814582.01999998</v>
      </c>
      <c r="AH78" s="78">
        <f t="shared" si="65"/>
        <v>0</v>
      </c>
      <c r="AI78" s="78">
        <f t="shared" si="65"/>
        <v>0</v>
      </c>
      <c r="AJ78" s="78">
        <f t="shared" si="65"/>
        <v>0</v>
      </c>
      <c r="AK78" s="78">
        <f t="shared" si="65"/>
        <v>0</v>
      </c>
      <c r="AL78" s="78">
        <f t="shared" si="65"/>
        <v>0</v>
      </c>
      <c r="AM78" s="78">
        <f t="shared" si="65"/>
        <v>364814582.01999998</v>
      </c>
      <c r="AN78" s="78">
        <f t="shared" si="65"/>
        <v>729629164.03999996</v>
      </c>
    </row>
    <row r="79" spans="2:40" outlineLevel="2" x14ac:dyDescent="0.25">
      <c r="B79" s="63" t="s">
        <v>169</v>
      </c>
      <c r="C79" s="64">
        <v>800246953</v>
      </c>
      <c r="D79" s="65" t="s">
        <v>170</v>
      </c>
      <c r="E79" s="66">
        <v>7</v>
      </c>
      <c r="F79" s="66">
        <v>0</v>
      </c>
      <c r="G79" s="66">
        <v>1894453069</v>
      </c>
      <c r="H79" s="66">
        <f t="shared" si="63"/>
        <v>1894453069</v>
      </c>
      <c r="I79" s="66">
        <v>0</v>
      </c>
      <c r="J79" s="66">
        <v>0</v>
      </c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7">
        <f t="shared" si="41"/>
        <v>1894453069</v>
      </c>
      <c r="S79" s="68">
        <f>+H79</f>
        <v>1894453069</v>
      </c>
      <c r="T79" s="67">
        <f t="shared" ref="T79:Y80" si="66">+I79</f>
        <v>0</v>
      </c>
      <c r="U79" s="67">
        <f t="shared" si="66"/>
        <v>0</v>
      </c>
      <c r="V79" s="67">
        <f t="shared" si="66"/>
        <v>0</v>
      </c>
      <c r="W79" s="67">
        <f t="shared" si="66"/>
        <v>0</v>
      </c>
      <c r="X79" s="67">
        <f t="shared" si="66"/>
        <v>0</v>
      </c>
      <c r="Y79" s="67">
        <f t="shared" si="66"/>
        <v>0</v>
      </c>
      <c r="Z79" s="67">
        <f t="shared" ref="Z79:Z80" si="67">+SUM(S79:Y79)</f>
        <v>1894453069</v>
      </c>
      <c r="AA79" s="62"/>
      <c r="AB79" s="67"/>
      <c r="AC79" s="67"/>
      <c r="AD79" s="67">
        <f>+Z79</f>
        <v>1894453069</v>
      </c>
      <c r="AE79" s="67"/>
      <c r="AF79" s="67"/>
      <c r="AG79" s="67"/>
      <c r="AH79" s="67"/>
      <c r="AI79" s="67"/>
      <c r="AJ79" s="67"/>
      <c r="AK79" s="67"/>
      <c r="AL79" s="67"/>
      <c r="AM79" s="67"/>
      <c r="AN79" s="67">
        <f t="shared" ref="AN79:AN80" si="68">+SUM(AB79:AM79)</f>
        <v>1894453069</v>
      </c>
    </row>
    <row r="80" spans="2:40" ht="12" outlineLevel="2" thickBot="1" x14ac:dyDescent="0.3">
      <c r="B80" s="63" t="s">
        <v>169</v>
      </c>
      <c r="C80" s="64">
        <v>899999061</v>
      </c>
      <c r="D80" s="65" t="s">
        <v>171</v>
      </c>
      <c r="E80" s="66">
        <v>29</v>
      </c>
      <c r="F80" s="66">
        <v>0</v>
      </c>
      <c r="G80" s="66">
        <v>1049212503</v>
      </c>
      <c r="H80" s="66">
        <f t="shared" si="63"/>
        <v>1049212503</v>
      </c>
      <c r="I80" s="66">
        <v>9279644</v>
      </c>
      <c r="J80" s="66">
        <v>485804156</v>
      </c>
      <c r="K80" s="66">
        <v>0</v>
      </c>
      <c r="L80" s="66">
        <v>0</v>
      </c>
      <c r="M80" s="66">
        <v>16203397</v>
      </c>
      <c r="N80" s="66">
        <v>0</v>
      </c>
      <c r="O80" s="66">
        <v>0</v>
      </c>
      <c r="P80" s="66">
        <v>-83791521</v>
      </c>
      <c r="Q80" s="67">
        <f t="shared" si="41"/>
        <v>1476708179</v>
      </c>
      <c r="S80" s="68">
        <f t="shared" ref="S80" si="69">+H80</f>
        <v>1049212503</v>
      </c>
      <c r="T80" s="67">
        <f t="shared" si="66"/>
        <v>9279644</v>
      </c>
      <c r="U80" s="67">
        <f t="shared" si="66"/>
        <v>485804156</v>
      </c>
      <c r="V80" s="67">
        <f t="shared" si="66"/>
        <v>0</v>
      </c>
      <c r="W80" s="67">
        <f t="shared" si="66"/>
        <v>0</v>
      </c>
      <c r="X80" s="67">
        <f t="shared" si="66"/>
        <v>16203397</v>
      </c>
      <c r="Y80" s="67">
        <f t="shared" si="66"/>
        <v>0</v>
      </c>
      <c r="Z80" s="67">
        <f t="shared" si="67"/>
        <v>1560499700</v>
      </c>
      <c r="AA80" s="62"/>
      <c r="AB80" s="67"/>
      <c r="AC80" s="67"/>
      <c r="AD80" s="67">
        <f>+Z80</f>
        <v>1560499700</v>
      </c>
      <c r="AE80" s="67"/>
      <c r="AF80" s="67"/>
      <c r="AG80" s="67"/>
      <c r="AH80" s="67"/>
      <c r="AI80" s="67"/>
      <c r="AJ80" s="67"/>
      <c r="AK80" s="67"/>
      <c r="AL80" s="67"/>
      <c r="AM80" s="67"/>
      <c r="AN80" s="67">
        <f t="shared" si="68"/>
        <v>1560499700</v>
      </c>
    </row>
    <row r="81" spans="2:40" ht="12" outlineLevel="1" thickBot="1" x14ac:dyDescent="0.3">
      <c r="B81" s="75" t="s">
        <v>172</v>
      </c>
      <c r="C81" s="76"/>
      <c r="D81" s="76"/>
      <c r="E81" s="77">
        <f t="shared" ref="E81:Z81" si="70">SUBTOTAL(9,E79:E80)</f>
        <v>36</v>
      </c>
      <c r="F81" s="77">
        <f t="shared" si="70"/>
        <v>0</v>
      </c>
      <c r="G81" s="77">
        <f t="shared" si="70"/>
        <v>2943665572</v>
      </c>
      <c r="H81" s="77">
        <f t="shared" si="70"/>
        <v>2943665572</v>
      </c>
      <c r="I81" s="77">
        <f t="shared" si="70"/>
        <v>9279644</v>
      </c>
      <c r="J81" s="77">
        <f t="shared" si="70"/>
        <v>485804156</v>
      </c>
      <c r="K81" s="77">
        <f t="shared" si="70"/>
        <v>0</v>
      </c>
      <c r="L81" s="77">
        <f t="shared" si="70"/>
        <v>0</v>
      </c>
      <c r="M81" s="77">
        <f t="shared" si="70"/>
        <v>16203397</v>
      </c>
      <c r="N81" s="77">
        <f t="shared" si="70"/>
        <v>0</v>
      </c>
      <c r="O81" s="77">
        <f t="shared" si="70"/>
        <v>0</v>
      </c>
      <c r="P81" s="77">
        <f t="shared" si="70"/>
        <v>-83791521</v>
      </c>
      <c r="Q81" s="78">
        <f t="shared" si="70"/>
        <v>3371161248</v>
      </c>
      <c r="S81" s="79">
        <f t="shared" si="70"/>
        <v>2943665572</v>
      </c>
      <c r="T81" s="78">
        <f t="shared" si="70"/>
        <v>9279644</v>
      </c>
      <c r="U81" s="78">
        <f t="shared" si="70"/>
        <v>485804156</v>
      </c>
      <c r="V81" s="78">
        <f t="shared" si="70"/>
        <v>0</v>
      </c>
      <c r="W81" s="78">
        <f t="shared" si="70"/>
        <v>0</v>
      </c>
      <c r="X81" s="78">
        <f t="shared" si="70"/>
        <v>16203397</v>
      </c>
      <c r="Y81" s="78">
        <f t="shared" si="70"/>
        <v>0</v>
      </c>
      <c r="Z81" s="78">
        <f t="shared" si="70"/>
        <v>3454952769</v>
      </c>
      <c r="AA81" s="62"/>
      <c r="AB81" s="78">
        <f t="shared" ref="AB81:AN81" si="71">SUBTOTAL(9,AB79:AB80)</f>
        <v>0</v>
      </c>
      <c r="AC81" s="78">
        <f t="shared" si="71"/>
        <v>0</v>
      </c>
      <c r="AD81" s="78">
        <f t="shared" si="71"/>
        <v>3454952769</v>
      </c>
      <c r="AE81" s="78">
        <f t="shared" si="71"/>
        <v>0</v>
      </c>
      <c r="AF81" s="78">
        <f t="shared" si="71"/>
        <v>0</v>
      </c>
      <c r="AG81" s="78">
        <f t="shared" si="71"/>
        <v>0</v>
      </c>
      <c r="AH81" s="78">
        <f t="shared" si="71"/>
        <v>0</v>
      </c>
      <c r="AI81" s="78">
        <f t="shared" si="71"/>
        <v>0</v>
      </c>
      <c r="AJ81" s="78">
        <f t="shared" si="71"/>
        <v>0</v>
      </c>
      <c r="AK81" s="78">
        <f t="shared" si="71"/>
        <v>0</v>
      </c>
      <c r="AL81" s="78">
        <f t="shared" si="71"/>
        <v>0</v>
      </c>
      <c r="AM81" s="78">
        <f t="shared" si="71"/>
        <v>0</v>
      </c>
      <c r="AN81" s="78">
        <f t="shared" si="71"/>
        <v>3454952769</v>
      </c>
    </row>
    <row r="82" spans="2:40" outlineLevel="2" x14ac:dyDescent="0.25">
      <c r="B82" s="63" t="s">
        <v>173</v>
      </c>
      <c r="C82" s="64">
        <v>800017030</v>
      </c>
      <c r="D82" s="65" t="s">
        <v>174</v>
      </c>
      <c r="E82" s="66">
        <v>246</v>
      </c>
      <c r="F82" s="66">
        <v>0</v>
      </c>
      <c r="G82" s="66">
        <v>0</v>
      </c>
      <c r="H82" s="66">
        <f t="shared" si="63"/>
        <v>0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370973719</v>
      </c>
      <c r="O82" s="66">
        <v>0</v>
      </c>
      <c r="P82" s="66">
        <v>-4289594.58</v>
      </c>
      <c r="Q82" s="67">
        <f t="shared" si="41"/>
        <v>366684124.42000002</v>
      </c>
      <c r="S82" s="68">
        <f>+H82*30%</f>
        <v>0</v>
      </c>
      <c r="T82" s="67">
        <f>+I82*30%</f>
        <v>0</v>
      </c>
      <c r="U82" s="67">
        <f>+J82*30%</f>
        <v>0</v>
      </c>
      <c r="V82" s="67">
        <f>+K82*30%</f>
        <v>0</v>
      </c>
      <c r="W82" s="67">
        <f>+L82*30%</f>
        <v>0</v>
      </c>
      <c r="X82" s="67">
        <f>+M82*0.4</f>
        <v>0</v>
      </c>
      <c r="Y82" s="67">
        <f>(Q82-S82-T82-U82-V82-W82-X82)*5%</f>
        <v>18334206.221000001</v>
      </c>
      <c r="Z82" s="67">
        <f t="shared" ref="Z82:Z132" si="72">+SUM(S82:Y82)</f>
        <v>18334206.221000001</v>
      </c>
      <c r="AA82" s="62"/>
      <c r="AB82" s="67">
        <f t="shared" ref="AB82:AG124" si="73">+S82</f>
        <v>0</v>
      </c>
      <c r="AC82" s="67">
        <f t="shared" si="73"/>
        <v>0</v>
      </c>
      <c r="AD82" s="67">
        <f t="shared" si="73"/>
        <v>0</v>
      </c>
      <c r="AE82" s="67">
        <f t="shared" si="73"/>
        <v>0</v>
      </c>
      <c r="AF82" s="67">
        <f t="shared" si="73"/>
        <v>0</v>
      </c>
      <c r="AG82" s="67">
        <f t="shared" si="73"/>
        <v>0</v>
      </c>
      <c r="AH82" s="67">
        <f t="shared" ref="AH82:AH132" si="74">+Y82/3</f>
        <v>6111402.0736666666</v>
      </c>
      <c r="AI82" s="67">
        <f t="shared" ref="AI82:AJ97" si="75">+AH82</f>
        <v>6111402.0736666666</v>
      </c>
      <c r="AJ82" s="67">
        <f t="shared" si="75"/>
        <v>6111402.0736666666</v>
      </c>
      <c r="AK82" s="67"/>
      <c r="AL82" s="67"/>
      <c r="AM82" s="67"/>
      <c r="AN82" s="67">
        <f t="shared" ref="AN82:AN132" si="76">+SUM(AB82:AM82)</f>
        <v>18334206.221000001</v>
      </c>
    </row>
    <row r="83" spans="2:40" outlineLevel="2" x14ac:dyDescent="0.25">
      <c r="B83" s="63" t="s">
        <v>173</v>
      </c>
      <c r="C83" s="64">
        <v>800091594</v>
      </c>
      <c r="D83" s="65" t="s">
        <v>175</v>
      </c>
      <c r="E83" s="66">
        <v>13</v>
      </c>
      <c r="F83" s="66">
        <v>0</v>
      </c>
      <c r="G83" s="66">
        <v>0</v>
      </c>
      <c r="H83" s="66">
        <f t="shared" si="63"/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6791939</v>
      </c>
      <c r="O83" s="66">
        <v>0</v>
      </c>
      <c r="P83" s="66">
        <v>0</v>
      </c>
      <c r="Q83" s="67">
        <f>SUM(H83:P83)</f>
        <v>6791939</v>
      </c>
      <c r="S83" s="68">
        <f t="shared" ref="S83:W132" si="77">+H83*30%</f>
        <v>0</v>
      </c>
      <c r="T83" s="67">
        <f t="shared" si="77"/>
        <v>0</v>
      </c>
      <c r="U83" s="67">
        <f t="shared" si="77"/>
        <v>0</v>
      </c>
      <c r="V83" s="67">
        <f t="shared" si="77"/>
        <v>0</v>
      </c>
      <c r="W83" s="67">
        <f t="shared" si="77"/>
        <v>0</v>
      </c>
      <c r="X83" s="67">
        <f t="shared" ref="X83:X132" si="78">+M83*0.4</f>
        <v>0</v>
      </c>
      <c r="Y83" s="67">
        <f t="shared" ref="Y83:Y132" si="79">(Q83-S83-T83-U83-V83-W83-X83)*5%</f>
        <v>339596.95</v>
      </c>
      <c r="Z83" s="67">
        <f t="shared" si="72"/>
        <v>339596.95</v>
      </c>
      <c r="AA83" s="62"/>
      <c r="AB83" s="67">
        <f t="shared" si="73"/>
        <v>0</v>
      </c>
      <c r="AC83" s="67">
        <f t="shared" si="73"/>
        <v>0</v>
      </c>
      <c r="AD83" s="67">
        <f t="shared" si="73"/>
        <v>0</v>
      </c>
      <c r="AE83" s="67">
        <f t="shared" si="73"/>
        <v>0</v>
      </c>
      <c r="AF83" s="67">
        <f t="shared" si="73"/>
        <v>0</v>
      </c>
      <c r="AG83" s="67">
        <f t="shared" si="73"/>
        <v>0</v>
      </c>
      <c r="AH83" s="67">
        <f t="shared" si="74"/>
        <v>113198.98333333334</v>
      </c>
      <c r="AI83" s="67">
        <f t="shared" si="75"/>
        <v>113198.98333333334</v>
      </c>
      <c r="AJ83" s="67">
        <f t="shared" si="75"/>
        <v>113198.98333333334</v>
      </c>
      <c r="AK83" s="67"/>
      <c r="AL83" s="67"/>
      <c r="AM83" s="67"/>
      <c r="AN83" s="67">
        <f t="shared" si="76"/>
        <v>339596.95</v>
      </c>
    </row>
    <row r="84" spans="2:40" outlineLevel="2" x14ac:dyDescent="0.25">
      <c r="B84" s="63" t="s">
        <v>173</v>
      </c>
      <c r="C84" s="64">
        <v>800094067</v>
      </c>
      <c r="D84" s="65" t="s">
        <v>176</v>
      </c>
      <c r="E84" s="66">
        <v>2</v>
      </c>
      <c r="F84" s="66">
        <v>0</v>
      </c>
      <c r="G84" s="66">
        <v>0</v>
      </c>
      <c r="H84" s="66">
        <f t="shared" si="63"/>
        <v>0</v>
      </c>
      <c r="I84" s="66">
        <v>0</v>
      </c>
      <c r="J84" s="66">
        <v>0</v>
      </c>
      <c r="K84" s="66">
        <v>0</v>
      </c>
      <c r="L84" s="66">
        <v>0</v>
      </c>
      <c r="M84" s="66">
        <v>0</v>
      </c>
      <c r="N84" s="66">
        <v>1984621</v>
      </c>
      <c r="O84" s="66">
        <v>0</v>
      </c>
      <c r="P84" s="66">
        <v>0</v>
      </c>
      <c r="Q84" s="67">
        <f>SUM(H84:P84)</f>
        <v>1984621</v>
      </c>
      <c r="S84" s="68">
        <f t="shared" si="77"/>
        <v>0</v>
      </c>
      <c r="T84" s="67">
        <f t="shared" si="77"/>
        <v>0</v>
      </c>
      <c r="U84" s="67">
        <f t="shared" si="77"/>
        <v>0</v>
      </c>
      <c r="V84" s="67">
        <f t="shared" si="77"/>
        <v>0</v>
      </c>
      <c r="W84" s="67">
        <f t="shared" si="77"/>
        <v>0</v>
      </c>
      <c r="X84" s="67">
        <f t="shared" si="78"/>
        <v>0</v>
      </c>
      <c r="Y84" s="67">
        <f t="shared" si="79"/>
        <v>99231.05</v>
      </c>
      <c r="Z84" s="67">
        <f t="shared" si="72"/>
        <v>99231.05</v>
      </c>
      <c r="AA84" s="62"/>
      <c r="AB84" s="67">
        <f t="shared" si="73"/>
        <v>0</v>
      </c>
      <c r="AC84" s="67">
        <f t="shared" si="73"/>
        <v>0</v>
      </c>
      <c r="AD84" s="67">
        <f t="shared" si="73"/>
        <v>0</v>
      </c>
      <c r="AE84" s="67">
        <f t="shared" si="73"/>
        <v>0</v>
      </c>
      <c r="AF84" s="67">
        <f t="shared" si="73"/>
        <v>0</v>
      </c>
      <c r="AG84" s="67">
        <f t="shared" si="73"/>
        <v>0</v>
      </c>
      <c r="AH84" s="67">
        <f t="shared" si="74"/>
        <v>33077.01666666667</v>
      </c>
      <c r="AI84" s="67">
        <f t="shared" si="75"/>
        <v>33077.01666666667</v>
      </c>
      <c r="AJ84" s="67">
        <f t="shared" si="75"/>
        <v>33077.01666666667</v>
      </c>
      <c r="AK84" s="67"/>
      <c r="AL84" s="67"/>
      <c r="AM84" s="67"/>
      <c r="AN84" s="67">
        <f t="shared" si="76"/>
        <v>99231.050000000017</v>
      </c>
    </row>
    <row r="85" spans="2:40" outlineLevel="2" x14ac:dyDescent="0.25">
      <c r="B85" s="63" t="s">
        <v>173</v>
      </c>
      <c r="C85" s="64">
        <v>800094164</v>
      </c>
      <c r="D85" s="65" t="s">
        <v>177</v>
      </c>
      <c r="E85" s="66">
        <v>1</v>
      </c>
      <c r="F85" s="66">
        <v>0</v>
      </c>
      <c r="G85" s="66">
        <v>0</v>
      </c>
      <c r="H85" s="66">
        <f t="shared" si="63"/>
        <v>0</v>
      </c>
      <c r="I85" s="66">
        <v>0</v>
      </c>
      <c r="J85" s="66">
        <v>0</v>
      </c>
      <c r="K85" s="66">
        <v>0</v>
      </c>
      <c r="L85" s="66">
        <v>0</v>
      </c>
      <c r="M85" s="66">
        <v>0</v>
      </c>
      <c r="N85" s="66">
        <v>9794690</v>
      </c>
      <c r="O85" s="66">
        <v>0</v>
      </c>
      <c r="P85" s="66">
        <v>0</v>
      </c>
      <c r="Q85" s="67">
        <f t="shared" ref="Q85:Q139" si="80">SUM(H85:P85)</f>
        <v>9794690</v>
      </c>
      <c r="S85" s="68">
        <f t="shared" si="77"/>
        <v>0</v>
      </c>
      <c r="T85" s="67">
        <f t="shared" si="77"/>
        <v>0</v>
      </c>
      <c r="U85" s="67">
        <f t="shared" si="77"/>
        <v>0</v>
      </c>
      <c r="V85" s="67">
        <f t="shared" si="77"/>
        <v>0</v>
      </c>
      <c r="W85" s="67">
        <f t="shared" si="77"/>
        <v>0</v>
      </c>
      <c r="X85" s="67">
        <f t="shared" si="78"/>
        <v>0</v>
      </c>
      <c r="Y85" s="67">
        <f t="shared" si="79"/>
        <v>489734.5</v>
      </c>
      <c r="Z85" s="67">
        <f t="shared" si="72"/>
        <v>489734.5</v>
      </c>
      <c r="AA85" s="62"/>
      <c r="AB85" s="67">
        <f t="shared" si="73"/>
        <v>0</v>
      </c>
      <c r="AC85" s="67">
        <f t="shared" si="73"/>
        <v>0</v>
      </c>
      <c r="AD85" s="67">
        <f t="shared" si="73"/>
        <v>0</v>
      </c>
      <c r="AE85" s="67">
        <f t="shared" si="73"/>
        <v>0</v>
      </c>
      <c r="AF85" s="67">
        <f t="shared" si="73"/>
        <v>0</v>
      </c>
      <c r="AG85" s="67">
        <f t="shared" si="73"/>
        <v>0</v>
      </c>
      <c r="AH85" s="67">
        <f t="shared" si="74"/>
        <v>163244.83333333334</v>
      </c>
      <c r="AI85" s="67">
        <f t="shared" si="75"/>
        <v>163244.83333333334</v>
      </c>
      <c r="AJ85" s="67">
        <f t="shared" si="75"/>
        <v>163244.83333333334</v>
      </c>
      <c r="AK85" s="67"/>
      <c r="AL85" s="67"/>
      <c r="AM85" s="67"/>
      <c r="AN85" s="67">
        <f t="shared" si="76"/>
        <v>489734.5</v>
      </c>
    </row>
    <row r="86" spans="2:40" outlineLevel="2" x14ac:dyDescent="0.25">
      <c r="B86" s="63" t="s">
        <v>173</v>
      </c>
      <c r="C86" s="64">
        <v>800098911</v>
      </c>
      <c r="D86" s="65" t="s">
        <v>178</v>
      </c>
      <c r="E86" s="66">
        <v>2</v>
      </c>
      <c r="F86" s="66">
        <v>0</v>
      </c>
      <c r="G86" s="66">
        <v>0</v>
      </c>
      <c r="H86" s="66">
        <f t="shared" si="63"/>
        <v>0</v>
      </c>
      <c r="I86" s="66">
        <v>0</v>
      </c>
      <c r="J86" s="66">
        <v>0</v>
      </c>
      <c r="K86" s="66">
        <v>0</v>
      </c>
      <c r="L86" s="66">
        <v>0</v>
      </c>
      <c r="M86" s="66">
        <v>207200</v>
      </c>
      <c r="N86" s="66">
        <v>18568</v>
      </c>
      <c r="O86" s="66">
        <v>0</v>
      </c>
      <c r="P86" s="66">
        <v>0</v>
      </c>
      <c r="Q86" s="67">
        <f t="shared" si="80"/>
        <v>225768</v>
      </c>
      <c r="S86" s="68">
        <f t="shared" si="77"/>
        <v>0</v>
      </c>
      <c r="T86" s="67">
        <f t="shared" si="77"/>
        <v>0</v>
      </c>
      <c r="U86" s="67">
        <f t="shared" si="77"/>
        <v>0</v>
      </c>
      <c r="V86" s="67">
        <f t="shared" si="77"/>
        <v>0</v>
      </c>
      <c r="W86" s="67">
        <f t="shared" si="77"/>
        <v>0</v>
      </c>
      <c r="X86" s="67">
        <f t="shared" si="78"/>
        <v>82880</v>
      </c>
      <c r="Y86" s="67">
        <f t="shared" si="79"/>
        <v>7144.4000000000005</v>
      </c>
      <c r="Z86" s="67">
        <f t="shared" si="72"/>
        <v>90024.4</v>
      </c>
      <c r="AA86" s="62"/>
      <c r="AB86" s="67">
        <f t="shared" si="73"/>
        <v>0</v>
      </c>
      <c r="AC86" s="67">
        <f t="shared" si="73"/>
        <v>0</v>
      </c>
      <c r="AD86" s="67">
        <f t="shared" si="73"/>
        <v>0</v>
      </c>
      <c r="AE86" s="67">
        <f t="shared" si="73"/>
        <v>0</v>
      </c>
      <c r="AF86" s="67">
        <f t="shared" si="73"/>
        <v>0</v>
      </c>
      <c r="AG86" s="67">
        <f t="shared" si="73"/>
        <v>82880</v>
      </c>
      <c r="AH86" s="67">
        <f t="shared" si="74"/>
        <v>2381.4666666666667</v>
      </c>
      <c r="AI86" s="67">
        <f t="shared" si="75"/>
        <v>2381.4666666666667</v>
      </c>
      <c r="AJ86" s="67">
        <f t="shared" si="75"/>
        <v>2381.4666666666667</v>
      </c>
      <c r="AK86" s="67"/>
      <c r="AL86" s="67"/>
      <c r="AM86" s="67"/>
      <c r="AN86" s="67">
        <f t="shared" si="76"/>
        <v>90024.39999999998</v>
      </c>
    </row>
    <row r="87" spans="2:40" outlineLevel="2" x14ac:dyDescent="0.25">
      <c r="B87" s="63" t="s">
        <v>173</v>
      </c>
      <c r="C87" s="64">
        <v>800102504</v>
      </c>
      <c r="D87" s="65" t="s">
        <v>179</v>
      </c>
      <c r="E87" s="66">
        <v>12</v>
      </c>
      <c r="F87" s="66">
        <v>0</v>
      </c>
      <c r="G87" s="66">
        <v>0</v>
      </c>
      <c r="H87" s="66">
        <f t="shared" si="63"/>
        <v>0</v>
      </c>
      <c r="I87" s="66">
        <v>0</v>
      </c>
      <c r="J87" s="66">
        <v>0</v>
      </c>
      <c r="K87" s="66">
        <v>0</v>
      </c>
      <c r="L87" s="66">
        <v>0</v>
      </c>
      <c r="M87" s="66">
        <v>0</v>
      </c>
      <c r="N87" s="66">
        <v>32482308</v>
      </c>
      <c r="O87" s="66">
        <v>0</v>
      </c>
      <c r="P87" s="66">
        <v>0</v>
      </c>
      <c r="Q87" s="67">
        <f t="shared" si="80"/>
        <v>32482308</v>
      </c>
      <c r="S87" s="68">
        <f t="shared" si="77"/>
        <v>0</v>
      </c>
      <c r="T87" s="67">
        <f t="shared" si="77"/>
        <v>0</v>
      </c>
      <c r="U87" s="67">
        <f t="shared" si="77"/>
        <v>0</v>
      </c>
      <c r="V87" s="67">
        <f t="shared" si="77"/>
        <v>0</v>
      </c>
      <c r="W87" s="67">
        <f t="shared" si="77"/>
        <v>0</v>
      </c>
      <c r="X87" s="67">
        <f t="shared" si="78"/>
        <v>0</v>
      </c>
      <c r="Y87" s="67">
        <f t="shared" si="79"/>
        <v>1624115.4000000001</v>
      </c>
      <c r="Z87" s="67">
        <f t="shared" si="72"/>
        <v>1624115.4000000001</v>
      </c>
      <c r="AA87" s="62"/>
      <c r="AB87" s="67">
        <f t="shared" si="73"/>
        <v>0</v>
      </c>
      <c r="AC87" s="67">
        <f t="shared" si="73"/>
        <v>0</v>
      </c>
      <c r="AD87" s="67">
        <f t="shared" si="73"/>
        <v>0</v>
      </c>
      <c r="AE87" s="67">
        <f t="shared" si="73"/>
        <v>0</v>
      </c>
      <c r="AF87" s="67">
        <f t="shared" si="73"/>
        <v>0</v>
      </c>
      <c r="AG87" s="67">
        <f t="shared" si="73"/>
        <v>0</v>
      </c>
      <c r="AH87" s="67">
        <f t="shared" si="74"/>
        <v>541371.80000000005</v>
      </c>
      <c r="AI87" s="67">
        <f t="shared" si="75"/>
        <v>541371.80000000005</v>
      </c>
      <c r="AJ87" s="67">
        <f t="shared" si="75"/>
        <v>541371.80000000005</v>
      </c>
      <c r="AK87" s="67"/>
      <c r="AL87" s="67"/>
      <c r="AM87" s="67"/>
      <c r="AN87" s="67">
        <f t="shared" si="76"/>
        <v>1624115.4000000001</v>
      </c>
    </row>
    <row r="88" spans="2:40" outlineLevel="2" x14ac:dyDescent="0.25">
      <c r="B88" s="63" t="s">
        <v>173</v>
      </c>
      <c r="C88" s="64">
        <v>800103913</v>
      </c>
      <c r="D88" s="65" t="s">
        <v>180</v>
      </c>
      <c r="E88" s="66">
        <v>39</v>
      </c>
      <c r="F88" s="66">
        <v>0</v>
      </c>
      <c r="G88" s="66">
        <v>0</v>
      </c>
      <c r="H88" s="66">
        <f t="shared" si="63"/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66">
        <v>74648120.560000002</v>
      </c>
      <c r="O88" s="66">
        <v>0</v>
      </c>
      <c r="P88" s="66">
        <v>0</v>
      </c>
      <c r="Q88" s="67">
        <f t="shared" si="80"/>
        <v>74648120.560000002</v>
      </c>
      <c r="S88" s="68">
        <f t="shared" si="77"/>
        <v>0</v>
      </c>
      <c r="T88" s="67">
        <f t="shared" si="77"/>
        <v>0</v>
      </c>
      <c r="U88" s="67">
        <f t="shared" si="77"/>
        <v>0</v>
      </c>
      <c r="V88" s="67">
        <f t="shared" si="77"/>
        <v>0</v>
      </c>
      <c r="W88" s="67">
        <f t="shared" si="77"/>
        <v>0</v>
      </c>
      <c r="X88" s="67">
        <f t="shared" si="78"/>
        <v>0</v>
      </c>
      <c r="Y88" s="67">
        <f t="shared" si="79"/>
        <v>3732406.0280000004</v>
      </c>
      <c r="Z88" s="67">
        <f t="shared" si="72"/>
        <v>3732406.0280000004</v>
      </c>
      <c r="AA88" s="62"/>
      <c r="AB88" s="67">
        <f t="shared" si="73"/>
        <v>0</v>
      </c>
      <c r="AC88" s="67">
        <f t="shared" si="73"/>
        <v>0</v>
      </c>
      <c r="AD88" s="67">
        <f t="shared" si="73"/>
        <v>0</v>
      </c>
      <c r="AE88" s="67">
        <f t="shared" si="73"/>
        <v>0</v>
      </c>
      <c r="AF88" s="67">
        <f t="shared" si="73"/>
        <v>0</v>
      </c>
      <c r="AG88" s="67">
        <f t="shared" si="73"/>
        <v>0</v>
      </c>
      <c r="AH88" s="67">
        <f t="shared" si="74"/>
        <v>1244135.3426666667</v>
      </c>
      <c r="AI88" s="67">
        <f t="shared" si="75"/>
        <v>1244135.3426666667</v>
      </c>
      <c r="AJ88" s="67">
        <f t="shared" si="75"/>
        <v>1244135.3426666667</v>
      </c>
      <c r="AK88" s="67"/>
      <c r="AL88" s="67"/>
      <c r="AM88" s="67"/>
      <c r="AN88" s="67">
        <f t="shared" si="76"/>
        <v>3732406.0279999999</v>
      </c>
    </row>
    <row r="89" spans="2:40" outlineLevel="2" x14ac:dyDescent="0.25">
      <c r="B89" s="63" t="s">
        <v>173</v>
      </c>
      <c r="C89" s="64">
        <v>800103920</v>
      </c>
      <c r="D89" s="65" t="s">
        <v>181</v>
      </c>
      <c r="E89" s="66">
        <v>104</v>
      </c>
      <c r="F89" s="66">
        <v>0</v>
      </c>
      <c r="G89" s="66">
        <v>0</v>
      </c>
      <c r="H89" s="66">
        <f t="shared" si="63"/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138294755</v>
      </c>
      <c r="O89" s="66">
        <v>0</v>
      </c>
      <c r="P89" s="66">
        <v>0</v>
      </c>
      <c r="Q89" s="67">
        <f t="shared" si="80"/>
        <v>138294755</v>
      </c>
      <c r="S89" s="68">
        <f t="shared" si="77"/>
        <v>0</v>
      </c>
      <c r="T89" s="67">
        <f t="shared" si="77"/>
        <v>0</v>
      </c>
      <c r="U89" s="67">
        <f t="shared" si="77"/>
        <v>0</v>
      </c>
      <c r="V89" s="67">
        <f t="shared" si="77"/>
        <v>0</v>
      </c>
      <c r="W89" s="67">
        <f t="shared" si="77"/>
        <v>0</v>
      </c>
      <c r="X89" s="67">
        <f t="shared" si="78"/>
        <v>0</v>
      </c>
      <c r="Y89" s="67">
        <f t="shared" si="79"/>
        <v>6914737.75</v>
      </c>
      <c r="Z89" s="67">
        <f t="shared" si="72"/>
        <v>6914737.75</v>
      </c>
      <c r="AA89" s="62"/>
      <c r="AB89" s="67">
        <f t="shared" si="73"/>
        <v>0</v>
      </c>
      <c r="AC89" s="67">
        <f t="shared" si="73"/>
        <v>0</v>
      </c>
      <c r="AD89" s="67">
        <f t="shared" si="73"/>
        <v>0</v>
      </c>
      <c r="AE89" s="67">
        <f t="shared" si="73"/>
        <v>0</v>
      </c>
      <c r="AF89" s="67">
        <f t="shared" si="73"/>
        <v>0</v>
      </c>
      <c r="AG89" s="67">
        <f t="shared" si="73"/>
        <v>0</v>
      </c>
      <c r="AH89" s="67">
        <f t="shared" si="74"/>
        <v>2304912.5833333335</v>
      </c>
      <c r="AI89" s="67">
        <f t="shared" si="75"/>
        <v>2304912.5833333335</v>
      </c>
      <c r="AJ89" s="67">
        <f t="shared" si="75"/>
        <v>2304912.5833333335</v>
      </c>
      <c r="AK89" s="67"/>
      <c r="AL89" s="67"/>
      <c r="AM89" s="67"/>
      <c r="AN89" s="67">
        <f t="shared" si="76"/>
        <v>6914737.75</v>
      </c>
    </row>
    <row r="90" spans="2:40" outlineLevel="2" x14ac:dyDescent="0.25">
      <c r="B90" s="63" t="s">
        <v>173</v>
      </c>
      <c r="C90" s="64">
        <v>800103923</v>
      </c>
      <c r="D90" s="65" t="s">
        <v>182</v>
      </c>
      <c r="E90" s="66">
        <v>18</v>
      </c>
      <c r="F90" s="66">
        <v>0</v>
      </c>
      <c r="G90" s="66">
        <v>0</v>
      </c>
      <c r="H90" s="66">
        <f t="shared" si="63"/>
        <v>0</v>
      </c>
      <c r="I90" s="66">
        <v>0</v>
      </c>
      <c r="J90" s="66">
        <v>0</v>
      </c>
      <c r="K90" s="66">
        <v>0</v>
      </c>
      <c r="L90" s="66">
        <v>0</v>
      </c>
      <c r="M90" s="66">
        <v>0</v>
      </c>
      <c r="N90" s="66">
        <v>9713409</v>
      </c>
      <c r="O90" s="66">
        <v>0</v>
      </c>
      <c r="P90" s="66">
        <v>0</v>
      </c>
      <c r="Q90" s="67">
        <f t="shared" si="80"/>
        <v>9713409</v>
      </c>
      <c r="S90" s="68">
        <f t="shared" si="77"/>
        <v>0</v>
      </c>
      <c r="T90" s="67">
        <f t="shared" si="77"/>
        <v>0</v>
      </c>
      <c r="U90" s="67">
        <f t="shared" si="77"/>
        <v>0</v>
      </c>
      <c r="V90" s="67">
        <f t="shared" si="77"/>
        <v>0</v>
      </c>
      <c r="W90" s="67">
        <f t="shared" si="77"/>
        <v>0</v>
      </c>
      <c r="X90" s="67">
        <f t="shared" si="78"/>
        <v>0</v>
      </c>
      <c r="Y90" s="67">
        <f t="shared" si="79"/>
        <v>485670.45</v>
      </c>
      <c r="Z90" s="67">
        <f t="shared" si="72"/>
        <v>485670.45</v>
      </c>
      <c r="AA90" s="62"/>
      <c r="AB90" s="67">
        <f t="shared" si="73"/>
        <v>0</v>
      </c>
      <c r="AC90" s="67">
        <f t="shared" si="73"/>
        <v>0</v>
      </c>
      <c r="AD90" s="67">
        <f t="shared" si="73"/>
        <v>0</v>
      </c>
      <c r="AE90" s="67">
        <f t="shared" si="73"/>
        <v>0</v>
      </c>
      <c r="AF90" s="67">
        <f t="shared" si="73"/>
        <v>0</v>
      </c>
      <c r="AG90" s="67">
        <f t="shared" si="73"/>
        <v>0</v>
      </c>
      <c r="AH90" s="67">
        <f t="shared" si="74"/>
        <v>161890.15</v>
      </c>
      <c r="AI90" s="67">
        <f t="shared" si="75"/>
        <v>161890.15</v>
      </c>
      <c r="AJ90" s="67">
        <f t="shared" si="75"/>
        <v>161890.15</v>
      </c>
      <c r="AK90" s="67"/>
      <c r="AL90" s="67"/>
      <c r="AM90" s="67"/>
      <c r="AN90" s="67">
        <f t="shared" si="76"/>
        <v>485670.44999999995</v>
      </c>
    </row>
    <row r="91" spans="2:40" outlineLevel="2" x14ac:dyDescent="0.25">
      <c r="B91" s="63" t="s">
        <v>173</v>
      </c>
      <c r="C91" s="64">
        <v>800103927</v>
      </c>
      <c r="D91" s="65" t="s">
        <v>183</v>
      </c>
      <c r="E91" s="66">
        <v>3</v>
      </c>
      <c r="F91" s="66">
        <v>0</v>
      </c>
      <c r="G91" s="66">
        <v>0</v>
      </c>
      <c r="H91" s="66">
        <f t="shared" si="63"/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20374787</v>
      </c>
      <c r="O91" s="66">
        <v>0</v>
      </c>
      <c r="P91" s="66">
        <v>0</v>
      </c>
      <c r="Q91" s="67">
        <f t="shared" si="80"/>
        <v>20374787</v>
      </c>
      <c r="S91" s="68">
        <f t="shared" si="77"/>
        <v>0</v>
      </c>
      <c r="T91" s="67">
        <f t="shared" si="77"/>
        <v>0</v>
      </c>
      <c r="U91" s="67">
        <f t="shared" si="77"/>
        <v>0</v>
      </c>
      <c r="V91" s="67">
        <f t="shared" si="77"/>
        <v>0</v>
      </c>
      <c r="W91" s="67">
        <f t="shared" si="77"/>
        <v>0</v>
      </c>
      <c r="X91" s="67">
        <f t="shared" si="78"/>
        <v>0</v>
      </c>
      <c r="Y91" s="67">
        <f t="shared" si="79"/>
        <v>1018739.3500000001</v>
      </c>
      <c r="Z91" s="67">
        <f t="shared" si="72"/>
        <v>1018739.3500000001</v>
      </c>
      <c r="AA91" s="62"/>
      <c r="AB91" s="67">
        <f t="shared" si="73"/>
        <v>0</v>
      </c>
      <c r="AC91" s="67">
        <f t="shared" si="73"/>
        <v>0</v>
      </c>
      <c r="AD91" s="67">
        <f t="shared" si="73"/>
        <v>0</v>
      </c>
      <c r="AE91" s="67">
        <f t="shared" si="73"/>
        <v>0</v>
      </c>
      <c r="AF91" s="67">
        <f t="shared" si="73"/>
        <v>0</v>
      </c>
      <c r="AG91" s="67">
        <f t="shared" si="73"/>
        <v>0</v>
      </c>
      <c r="AH91" s="67">
        <f t="shared" si="74"/>
        <v>339579.78333333338</v>
      </c>
      <c r="AI91" s="67">
        <f t="shared" si="75"/>
        <v>339579.78333333338</v>
      </c>
      <c r="AJ91" s="67">
        <f t="shared" si="75"/>
        <v>339579.78333333338</v>
      </c>
      <c r="AK91" s="67"/>
      <c r="AL91" s="67"/>
      <c r="AM91" s="67"/>
      <c r="AN91" s="67">
        <f t="shared" si="76"/>
        <v>1018739.3500000001</v>
      </c>
    </row>
    <row r="92" spans="2:40" outlineLevel="2" x14ac:dyDescent="0.25">
      <c r="B92" s="63" t="s">
        <v>173</v>
      </c>
      <c r="C92" s="64">
        <v>800103935</v>
      </c>
      <c r="D92" s="65" t="s">
        <v>184</v>
      </c>
      <c r="E92" s="66">
        <v>189</v>
      </c>
      <c r="F92" s="66">
        <v>0</v>
      </c>
      <c r="G92" s="66">
        <v>0</v>
      </c>
      <c r="H92" s="66">
        <f t="shared" si="63"/>
        <v>0</v>
      </c>
      <c r="I92" s="66">
        <v>0</v>
      </c>
      <c r="J92" s="66">
        <v>0</v>
      </c>
      <c r="K92" s="66">
        <v>0</v>
      </c>
      <c r="L92" s="66">
        <v>0</v>
      </c>
      <c r="M92" s="66">
        <v>0</v>
      </c>
      <c r="N92" s="66">
        <v>239160385.21000001</v>
      </c>
      <c r="O92" s="66">
        <v>0</v>
      </c>
      <c r="P92" s="66">
        <v>0</v>
      </c>
      <c r="Q92" s="67">
        <f t="shared" si="80"/>
        <v>239160385.21000001</v>
      </c>
      <c r="S92" s="68">
        <f t="shared" si="77"/>
        <v>0</v>
      </c>
      <c r="T92" s="67">
        <f t="shared" si="77"/>
        <v>0</v>
      </c>
      <c r="U92" s="67">
        <f t="shared" si="77"/>
        <v>0</v>
      </c>
      <c r="V92" s="67">
        <f t="shared" si="77"/>
        <v>0</v>
      </c>
      <c r="W92" s="67">
        <f t="shared" si="77"/>
        <v>0</v>
      </c>
      <c r="X92" s="67">
        <f t="shared" si="78"/>
        <v>0</v>
      </c>
      <c r="Y92" s="67">
        <f t="shared" si="79"/>
        <v>11958019.260500001</v>
      </c>
      <c r="Z92" s="67">
        <f t="shared" si="72"/>
        <v>11958019.260500001</v>
      </c>
      <c r="AA92" s="62"/>
      <c r="AB92" s="67">
        <f t="shared" si="73"/>
        <v>0</v>
      </c>
      <c r="AC92" s="67">
        <f t="shared" si="73"/>
        <v>0</v>
      </c>
      <c r="AD92" s="67">
        <f t="shared" si="73"/>
        <v>0</v>
      </c>
      <c r="AE92" s="67">
        <f t="shared" si="73"/>
        <v>0</v>
      </c>
      <c r="AF92" s="67">
        <f t="shared" si="73"/>
        <v>0</v>
      </c>
      <c r="AG92" s="67">
        <f t="shared" si="73"/>
        <v>0</v>
      </c>
      <c r="AH92" s="67">
        <f t="shared" si="74"/>
        <v>3986006.4201666671</v>
      </c>
      <c r="AI92" s="67">
        <f t="shared" si="75"/>
        <v>3986006.4201666671</v>
      </c>
      <c r="AJ92" s="67">
        <f t="shared" si="75"/>
        <v>3986006.4201666671</v>
      </c>
      <c r="AK92" s="67"/>
      <c r="AL92" s="67"/>
      <c r="AM92" s="67"/>
      <c r="AN92" s="67">
        <f t="shared" si="76"/>
        <v>11958019.260500001</v>
      </c>
    </row>
    <row r="93" spans="2:40" outlineLevel="2" x14ac:dyDescent="0.25">
      <c r="B93" s="63" t="s">
        <v>173</v>
      </c>
      <c r="C93" s="64">
        <v>800113672</v>
      </c>
      <c r="D93" s="65" t="s">
        <v>185</v>
      </c>
      <c r="E93" s="66">
        <v>1</v>
      </c>
      <c r="F93" s="66">
        <v>0</v>
      </c>
      <c r="G93" s="66">
        <v>0</v>
      </c>
      <c r="H93" s="66">
        <f t="shared" si="63"/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30496</v>
      </c>
      <c r="O93" s="66">
        <v>0</v>
      </c>
      <c r="P93" s="66">
        <v>0</v>
      </c>
      <c r="Q93" s="67">
        <f t="shared" si="80"/>
        <v>30496</v>
      </c>
      <c r="S93" s="68">
        <f t="shared" si="77"/>
        <v>0</v>
      </c>
      <c r="T93" s="67">
        <f t="shared" si="77"/>
        <v>0</v>
      </c>
      <c r="U93" s="67">
        <f t="shared" si="77"/>
        <v>0</v>
      </c>
      <c r="V93" s="67">
        <f t="shared" si="77"/>
        <v>0</v>
      </c>
      <c r="W93" s="67">
        <f t="shared" si="77"/>
        <v>0</v>
      </c>
      <c r="X93" s="67">
        <f t="shared" si="78"/>
        <v>0</v>
      </c>
      <c r="Y93" s="67">
        <f t="shared" si="79"/>
        <v>1524.8000000000002</v>
      </c>
      <c r="Z93" s="67">
        <f t="shared" si="72"/>
        <v>1524.8000000000002</v>
      </c>
      <c r="AA93" s="62"/>
      <c r="AB93" s="67">
        <f t="shared" si="73"/>
        <v>0</v>
      </c>
      <c r="AC93" s="67">
        <f t="shared" si="73"/>
        <v>0</v>
      </c>
      <c r="AD93" s="67">
        <f t="shared" si="73"/>
        <v>0</v>
      </c>
      <c r="AE93" s="67">
        <f t="shared" si="73"/>
        <v>0</v>
      </c>
      <c r="AF93" s="67">
        <f t="shared" si="73"/>
        <v>0</v>
      </c>
      <c r="AG93" s="67">
        <f t="shared" si="73"/>
        <v>0</v>
      </c>
      <c r="AH93" s="67">
        <f t="shared" si="74"/>
        <v>508.26666666666671</v>
      </c>
      <c r="AI93" s="67">
        <f t="shared" si="75"/>
        <v>508.26666666666671</v>
      </c>
      <c r="AJ93" s="67">
        <f t="shared" si="75"/>
        <v>508.26666666666671</v>
      </c>
      <c r="AK93" s="67"/>
      <c r="AL93" s="67"/>
      <c r="AM93" s="67"/>
      <c r="AN93" s="67">
        <f t="shared" si="76"/>
        <v>1524.8000000000002</v>
      </c>
    </row>
    <row r="94" spans="2:40" outlineLevel="2" x14ac:dyDescent="0.25">
      <c r="B94" s="63" t="s">
        <v>173</v>
      </c>
      <c r="C94" s="64">
        <v>800114312</v>
      </c>
      <c r="D94" s="65" t="s">
        <v>186</v>
      </c>
      <c r="E94" s="66">
        <v>27</v>
      </c>
      <c r="F94" s="66">
        <v>0</v>
      </c>
      <c r="G94" s="66">
        <v>0</v>
      </c>
      <c r="H94" s="66">
        <f t="shared" si="63"/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18415225</v>
      </c>
      <c r="O94" s="66">
        <v>0</v>
      </c>
      <c r="P94" s="66">
        <v>0</v>
      </c>
      <c r="Q94" s="67">
        <f t="shared" si="80"/>
        <v>18415225</v>
      </c>
      <c r="S94" s="68">
        <f t="shared" si="77"/>
        <v>0</v>
      </c>
      <c r="T94" s="67">
        <f t="shared" si="77"/>
        <v>0</v>
      </c>
      <c r="U94" s="67">
        <f t="shared" si="77"/>
        <v>0</v>
      </c>
      <c r="V94" s="67">
        <f t="shared" si="77"/>
        <v>0</v>
      </c>
      <c r="W94" s="67">
        <f t="shared" si="77"/>
        <v>0</v>
      </c>
      <c r="X94" s="67">
        <f t="shared" si="78"/>
        <v>0</v>
      </c>
      <c r="Y94" s="67">
        <f t="shared" si="79"/>
        <v>920761.25</v>
      </c>
      <c r="Z94" s="67">
        <f t="shared" si="72"/>
        <v>920761.25</v>
      </c>
      <c r="AA94" s="62"/>
      <c r="AB94" s="67">
        <f t="shared" si="73"/>
        <v>0</v>
      </c>
      <c r="AC94" s="67">
        <f t="shared" si="73"/>
        <v>0</v>
      </c>
      <c r="AD94" s="67">
        <f t="shared" si="73"/>
        <v>0</v>
      </c>
      <c r="AE94" s="67">
        <f t="shared" si="73"/>
        <v>0</v>
      </c>
      <c r="AF94" s="67">
        <f t="shared" si="73"/>
        <v>0</v>
      </c>
      <c r="AG94" s="67">
        <f t="shared" si="73"/>
        <v>0</v>
      </c>
      <c r="AH94" s="67">
        <f t="shared" si="74"/>
        <v>306920.41666666669</v>
      </c>
      <c r="AI94" s="67">
        <f t="shared" si="75"/>
        <v>306920.41666666669</v>
      </c>
      <c r="AJ94" s="67">
        <f t="shared" si="75"/>
        <v>306920.41666666669</v>
      </c>
      <c r="AK94" s="67"/>
      <c r="AL94" s="67"/>
      <c r="AM94" s="67"/>
      <c r="AN94" s="67">
        <f t="shared" si="76"/>
        <v>920761.25</v>
      </c>
    </row>
    <row r="95" spans="2:40" outlineLevel="2" x14ac:dyDescent="0.25">
      <c r="B95" s="63" t="s">
        <v>173</v>
      </c>
      <c r="C95" s="64">
        <v>800176413</v>
      </c>
      <c r="D95" s="65" t="s">
        <v>187</v>
      </c>
      <c r="E95" s="66">
        <v>191</v>
      </c>
      <c r="F95" s="66">
        <v>0</v>
      </c>
      <c r="G95" s="66">
        <v>0</v>
      </c>
      <c r="H95" s="66">
        <f t="shared" si="63"/>
        <v>0</v>
      </c>
      <c r="I95" s="66">
        <v>0</v>
      </c>
      <c r="J95" s="66">
        <v>0</v>
      </c>
      <c r="K95" s="66">
        <v>0</v>
      </c>
      <c r="L95" s="66">
        <v>0</v>
      </c>
      <c r="M95" s="66">
        <v>108000</v>
      </c>
      <c r="N95" s="66">
        <v>429261387.91000003</v>
      </c>
      <c r="O95" s="66">
        <v>0</v>
      </c>
      <c r="P95" s="66">
        <v>0</v>
      </c>
      <c r="Q95" s="67">
        <f t="shared" si="80"/>
        <v>429369387.91000003</v>
      </c>
      <c r="S95" s="68">
        <f t="shared" si="77"/>
        <v>0</v>
      </c>
      <c r="T95" s="67">
        <f t="shared" si="77"/>
        <v>0</v>
      </c>
      <c r="U95" s="67">
        <f t="shared" si="77"/>
        <v>0</v>
      </c>
      <c r="V95" s="67">
        <f t="shared" si="77"/>
        <v>0</v>
      </c>
      <c r="W95" s="67">
        <f t="shared" si="77"/>
        <v>0</v>
      </c>
      <c r="X95" s="67">
        <f t="shared" si="78"/>
        <v>43200</v>
      </c>
      <c r="Y95" s="67">
        <f t="shared" si="79"/>
        <v>21466309.395500004</v>
      </c>
      <c r="Z95" s="67">
        <f t="shared" si="72"/>
        <v>21509509.395500004</v>
      </c>
      <c r="AA95" s="62"/>
      <c r="AB95" s="67">
        <f t="shared" si="73"/>
        <v>0</v>
      </c>
      <c r="AC95" s="67">
        <f t="shared" si="73"/>
        <v>0</v>
      </c>
      <c r="AD95" s="67">
        <f t="shared" si="73"/>
        <v>0</v>
      </c>
      <c r="AE95" s="67">
        <f t="shared" si="73"/>
        <v>0</v>
      </c>
      <c r="AF95" s="67">
        <f t="shared" si="73"/>
        <v>0</v>
      </c>
      <c r="AG95" s="67">
        <f t="shared" si="73"/>
        <v>43200</v>
      </c>
      <c r="AH95" s="67">
        <f t="shared" si="74"/>
        <v>7155436.4651666684</v>
      </c>
      <c r="AI95" s="67">
        <f t="shared" si="75"/>
        <v>7155436.4651666684</v>
      </c>
      <c r="AJ95" s="67">
        <f t="shared" si="75"/>
        <v>7155436.4651666684</v>
      </c>
      <c r="AK95" s="67"/>
      <c r="AL95" s="67"/>
      <c r="AM95" s="67"/>
      <c r="AN95" s="67">
        <f t="shared" si="76"/>
        <v>21509509.395500004</v>
      </c>
    </row>
    <row r="96" spans="2:40" outlineLevel="2" x14ac:dyDescent="0.25">
      <c r="B96" s="63" t="s">
        <v>173</v>
      </c>
      <c r="C96" s="64">
        <v>800180260</v>
      </c>
      <c r="D96" s="65" t="s">
        <v>188</v>
      </c>
      <c r="E96" s="66">
        <v>2</v>
      </c>
      <c r="F96" s="66">
        <v>0</v>
      </c>
      <c r="G96" s="66">
        <v>0</v>
      </c>
      <c r="H96" s="66">
        <f t="shared" si="63"/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8274315</v>
      </c>
      <c r="O96" s="66">
        <v>0</v>
      </c>
      <c r="P96" s="66">
        <v>0</v>
      </c>
      <c r="Q96" s="67">
        <f t="shared" si="80"/>
        <v>8274315</v>
      </c>
      <c r="S96" s="68">
        <f t="shared" si="77"/>
        <v>0</v>
      </c>
      <c r="T96" s="67">
        <f t="shared" si="77"/>
        <v>0</v>
      </c>
      <c r="U96" s="67">
        <f t="shared" si="77"/>
        <v>0</v>
      </c>
      <c r="V96" s="67">
        <f t="shared" si="77"/>
        <v>0</v>
      </c>
      <c r="W96" s="67">
        <f t="shared" si="77"/>
        <v>0</v>
      </c>
      <c r="X96" s="67">
        <f t="shared" si="78"/>
        <v>0</v>
      </c>
      <c r="Y96" s="67">
        <f t="shared" si="79"/>
        <v>413715.75</v>
      </c>
      <c r="Z96" s="67">
        <f t="shared" si="72"/>
        <v>413715.75</v>
      </c>
      <c r="AA96" s="62"/>
      <c r="AB96" s="67">
        <f t="shared" si="73"/>
        <v>0</v>
      </c>
      <c r="AC96" s="67">
        <f t="shared" si="73"/>
        <v>0</v>
      </c>
      <c r="AD96" s="67">
        <f t="shared" si="73"/>
        <v>0</v>
      </c>
      <c r="AE96" s="67">
        <f t="shared" si="73"/>
        <v>0</v>
      </c>
      <c r="AF96" s="67">
        <f t="shared" si="73"/>
        <v>0</v>
      </c>
      <c r="AG96" s="67">
        <f t="shared" si="73"/>
        <v>0</v>
      </c>
      <c r="AH96" s="67">
        <f t="shared" si="74"/>
        <v>137905.25</v>
      </c>
      <c r="AI96" s="67">
        <f t="shared" si="75"/>
        <v>137905.25</v>
      </c>
      <c r="AJ96" s="67">
        <f t="shared" si="75"/>
        <v>137905.25</v>
      </c>
      <c r="AK96" s="67"/>
      <c r="AL96" s="67"/>
      <c r="AM96" s="67"/>
      <c r="AN96" s="67">
        <f t="shared" si="76"/>
        <v>413715.75</v>
      </c>
    </row>
    <row r="97" spans="2:40" outlineLevel="2" x14ac:dyDescent="0.25">
      <c r="B97" s="63" t="s">
        <v>173</v>
      </c>
      <c r="C97" s="64">
        <v>800182159</v>
      </c>
      <c r="D97" s="65" t="s">
        <v>189</v>
      </c>
      <c r="E97" s="66">
        <v>2</v>
      </c>
      <c r="F97" s="66">
        <v>0</v>
      </c>
      <c r="G97" s="66">
        <v>0</v>
      </c>
      <c r="H97" s="66">
        <f t="shared" si="63"/>
        <v>0</v>
      </c>
      <c r="I97" s="66">
        <v>0</v>
      </c>
      <c r="J97" s="66">
        <v>0</v>
      </c>
      <c r="K97" s="66">
        <v>0</v>
      </c>
      <c r="L97" s="66">
        <v>0</v>
      </c>
      <c r="M97" s="66">
        <v>0</v>
      </c>
      <c r="N97" s="66">
        <v>452598</v>
      </c>
      <c r="O97" s="66">
        <v>0</v>
      </c>
      <c r="P97" s="66">
        <v>0</v>
      </c>
      <c r="Q97" s="67">
        <f t="shared" si="80"/>
        <v>452598</v>
      </c>
      <c r="S97" s="68">
        <f t="shared" si="77"/>
        <v>0</v>
      </c>
      <c r="T97" s="67">
        <f t="shared" si="77"/>
        <v>0</v>
      </c>
      <c r="U97" s="67">
        <f t="shared" si="77"/>
        <v>0</v>
      </c>
      <c r="V97" s="67">
        <f t="shared" si="77"/>
        <v>0</v>
      </c>
      <c r="W97" s="67">
        <f t="shared" si="77"/>
        <v>0</v>
      </c>
      <c r="X97" s="67">
        <f t="shared" si="78"/>
        <v>0</v>
      </c>
      <c r="Y97" s="67">
        <f t="shared" si="79"/>
        <v>22629.9</v>
      </c>
      <c r="Z97" s="67">
        <f t="shared" si="72"/>
        <v>22629.9</v>
      </c>
      <c r="AA97" s="62"/>
      <c r="AB97" s="67">
        <f t="shared" si="73"/>
        <v>0</v>
      </c>
      <c r="AC97" s="67">
        <f t="shared" si="73"/>
        <v>0</v>
      </c>
      <c r="AD97" s="67">
        <f t="shared" si="73"/>
        <v>0</v>
      </c>
      <c r="AE97" s="67">
        <f t="shared" si="73"/>
        <v>0</v>
      </c>
      <c r="AF97" s="67">
        <f t="shared" si="73"/>
        <v>0</v>
      </c>
      <c r="AG97" s="67">
        <f t="shared" si="73"/>
        <v>0</v>
      </c>
      <c r="AH97" s="67">
        <f t="shared" si="74"/>
        <v>7543.3</v>
      </c>
      <c r="AI97" s="67">
        <f t="shared" si="75"/>
        <v>7543.3</v>
      </c>
      <c r="AJ97" s="67">
        <f t="shared" si="75"/>
        <v>7543.3</v>
      </c>
      <c r="AK97" s="67"/>
      <c r="AL97" s="67"/>
      <c r="AM97" s="67"/>
      <c r="AN97" s="67">
        <f t="shared" si="76"/>
        <v>22629.9</v>
      </c>
    </row>
    <row r="98" spans="2:40" outlineLevel="2" x14ac:dyDescent="0.25">
      <c r="B98" s="63" t="s">
        <v>173</v>
      </c>
      <c r="C98" s="64">
        <v>800198972</v>
      </c>
      <c r="D98" s="65" t="s">
        <v>190</v>
      </c>
      <c r="E98" s="66">
        <v>1</v>
      </c>
      <c r="F98" s="66">
        <v>0</v>
      </c>
      <c r="G98" s="66">
        <v>0</v>
      </c>
      <c r="H98" s="66">
        <f t="shared" si="63"/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8955073</v>
      </c>
      <c r="O98" s="66">
        <v>0</v>
      </c>
      <c r="P98" s="66">
        <v>0</v>
      </c>
      <c r="Q98" s="67">
        <f t="shared" si="80"/>
        <v>8955073</v>
      </c>
      <c r="S98" s="68">
        <f t="shared" si="77"/>
        <v>0</v>
      </c>
      <c r="T98" s="67">
        <f t="shared" si="77"/>
        <v>0</v>
      </c>
      <c r="U98" s="67">
        <f t="shared" si="77"/>
        <v>0</v>
      </c>
      <c r="V98" s="67">
        <f t="shared" si="77"/>
        <v>0</v>
      </c>
      <c r="W98" s="67">
        <f t="shared" si="77"/>
        <v>0</v>
      </c>
      <c r="X98" s="67">
        <f t="shared" si="78"/>
        <v>0</v>
      </c>
      <c r="Y98" s="67">
        <f t="shared" si="79"/>
        <v>447753.65</v>
      </c>
      <c r="Z98" s="67">
        <f t="shared" si="72"/>
        <v>447753.65</v>
      </c>
      <c r="AA98" s="62"/>
      <c r="AB98" s="67">
        <f t="shared" si="73"/>
        <v>0</v>
      </c>
      <c r="AC98" s="67">
        <f t="shared" si="73"/>
        <v>0</v>
      </c>
      <c r="AD98" s="67">
        <f t="shared" si="73"/>
        <v>0</v>
      </c>
      <c r="AE98" s="67">
        <f t="shared" si="73"/>
        <v>0</v>
      </c>
      <c r="AF98" s="67">
        <f t="shared" si="73"/>
        <v>0</v>
      </c>
      <c r="AG98" s="67">
        <f t="shared" si="73"/>
        <v>0</v>
      </c>
      <c r="AH98" s="67">
        <f t="shared" si="74"/>
        <v>149251.21666666667</v>
      </c>
      <c r="AI98" s="67">
        <f t="shared" ref="AI98:AJ113" si="81">+AH98</f>
        <v>149251.21666666667</v>
      </c>
      <c r="AJ98" s="67">
        <f t="shared" si="81"/>
        <v>149251.21666666667</v>
      </c>
      <c r="AK98" s="67"/>
      <c r="AL98" s="67"/>
      <c r="AM98" s="67"/>
      <c r="AN98" s="67">
        <f t="shared" si="76"/>
        <v>447753.65</v>
      </c>
    </row>
    <row r="99" spans="2:40" outlineLevel="2" x14ac:dyDescent="0.25">
      <c r="B99" s="63" t="s">
        <v>173</v>
      </c>
      <c r="C99" s="64">
        <v>802003228</v>
      </c>
      <c r="D99" s="65" t="s">
        <v>191</v>
      </c>
      <c r="E99" s="66">
        <v>22</v>
      </c>
      <c r="F99" s="66">
        <v>0</v>
      </c>
      <c r="G99" s="66">
        <v>0</v>
      </c>
      <c r="H99" s="66">
        <f t="shared" si="63"/>
        <v>0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22590553</v>
      </c>
      <c r="O99" s="66">
        <v>0</v>
      </c>
      <c r="P99" s="66">
        <v>0</v>
      </c>
      <c r="Q99" s="67">
        <f t="shared" si="80"/>
        <v>22590553</v>
      </c>
      <c r="S99" s="68">
        <f t="shared" si="77"/>
        <v>0</v>
      </c>
      <c r="T99" s="67">
        <f t="shared" si="77"/>
        <v>0</v>
      </c>
      <c r="U99" s="67">
        <f t="shared" si="77"/>
        <v>0</v>
      </c>
      <c r="V99" s="67">
        <f t="shared" si="77"/>
        <v>0</v>
      </c>
      <c r="W99" s="67">
        <f t="shared" si="77"/>
        <v>0</v>
      </c>
      <c r="X99" s="67">
        <f t="shared" si="78"/>
        <v>0</v>
      </c>
      <c r="Y99" s="67">
        <f t="shared" si="79"/>
        <v>1129527.6500000001</v>
      </c>
      <c r="Z99" s="67">
        <f t="shared" si="72"/>
        <v>1129527.6500000001</v>
      </c>
      <c r="AA99" s="62"/>
      <c r="AB99" s="67">
        <f t="shared" si="73"/>
        <v>0</v>
      </c>
      <c r="AC99" s="67">
        <f t="shared" si="73"/>
        <v>0</v>
      </c>
      <c r="AD99" s="67">
        <f t="shared" si="73"/>
        <v>0</v>
      </c>
      <c r="AE99" s="67">
        <f t="shared" si="73"/>
        <v>0</v>
      </c>
      <c r="AF99" s="67">
        <f t="shared" si="73"/>
        <v>0</v>
      </c>
      <c r="AG99" s="67">
        <f t="shared" si="73"/>
        <v>0</v>
      </c>
      <c r="AH99" s="67">
        <f t="shared" si="74"/>
        <v>376509.21666666673</v>
      </c>
      <c r="AI99" s="67">
        <f t="shared" si="81"/>
        <v>376509.21666666673</v>
      </c>
      <c r="AJ99" s="67">
        <f t="shared" si="81"/>
        <v>376509.21666666673</v>
      </c>
      <c r="AK99" s="67"/>
      <c r="AL99" s="67"/>
      <c r="AM99" s="67"/>
      <c r="AN99" s="67">
        <f t="shared" si="76"/>
        <v>1129527.6500000001</v>
      </c>
    </row>
    <row r="100" spans="2:40" outlineLevel="2" x14ac:dyDescent="0.25">
      <c r="B100" s="63" t="s">
        <v>173</v>
      </c>
      <c r="C100" s="64">
        <v>812000243</v>
      </c>
      <c r="D100" s="65" t="s">
        <v>192</v>
      </c>
      <c r="E100" s="66">
        <v>31</v>
      </c>
      <c r="F100" s="66">
        <v>0</v>
      </c>
      <c r="G100" s="66">
        <v>0</v>
      </c>
      <c r="H100" s="66">
        <f t="shared" si="63"/>
        <v>0</v>
      </c>
      <c r="I100" s="66"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v>6793952</v>
      </c>
      <c r="O100" s="66">
        <v>0</v>
      </c>
      <c r="P100" s="66">
        <v>0</v>
      </c>
      <c r="Q100" s="67">
        <f t="shared" si="80"/>
        <v>6793952</v>
      </c>
      <c r="S100" s="68">
        <f t="shared" si="77"/>
        <v>0</v>
      </c>
      <c r="T100" s="67">
        <f t="shared" si="77"/>
        <v>0</v>
      </c>
      <c r="U100" s="67">
        <f t="shared" si="77"/>
        <v>0</v>
      </c>
      <c r="V100" s="67">
        <f t="shared" si="77"/>
        <v>0</v>
      </c>
      <c r="W100" s="67">
        <f t="shared" si="77"/>
        <v>0</v>
      </c>
      <c r="X100" s="67">
        <f t="shared" si="78"/>
        <v>0</v>
      </c>
      <c r="Y100" s="67">
        <f t="shared" si="79"/>
        <v>339697.60000000003</v>
      </c>
      <c r="Z100" s="67">
        <f t="shared" si="72"/>
        <v>339697.60000000003</v>
      </c>
      <c r="AA100" s="62"/>
      <c r="AB100" s="67">
        <f t="shared" si="73"/>
        <v>0</v>
      </c>
      <c r="AC100" s="67">
        <f t="shared" si="73"/>
        <v>0</v>
      </c>
      <c r="AD100" s="67">
        <f t="shared" si="73"/>
        <v>0</v>
      </c>
      <c r="AE100" s="67">
        <f t="shared" si="73"/>
        <v>0</v>
      </c>
      <c r="AF100" s="67">
        <f t="shared" si="73"/>
        <v>0</v>
      </c>
      <c r="AG100" s="67">
        <f t="shared" si="73"/>
        <v>0</v>
      </c>
      <c r="AH100" s="67">
        <f t="shared" si="74"/>
        <v>113232.53333333334</v>
      </c>
      <c r="AI100" s="67">
        <f t="shared" si="81"/>
        <v>113232.53333333334</v>
      </c>
      <c r="AJ100" s="67">
        <f t="shared" si="81"/>
        <v>113232.53333333334</v>
      </c>
      <c r="AK100" s="67"/>
      <c r="AL100" s="67"/>
      <c r="AM100" s="67"/>
      <c r="AN100" s="67">
        <f t="shared" si="76"/>
        <v>339697.60000000003</v>
      </c>
    </row>
    <row r="101" spans="2:40" outlineLevel="2" x14ac:dyDescent="0.25">
      <c r="B101" s="63" t="s">
        <v>173</v>
      </c>
      <c r="C101" s="64">
        <v>832001966</v>
      </c>
      <c r="D101" s="65" t="s">
        <v>193</v>
      </c>
      <c r="E101" s="66">
        <v>212</v>
      </c>
      <c r="F101" s="66">
        <v>0</v>
      </c>
      <c r="G101" s="66">
        <v>0</v>
      </c>
      <c r="H101" s="66">
        <f t="shared" si="63"/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449426059</v>
      </c>
      <c r="O101" s="66">
        <v>0</v>
      </c>
      <c r="P101" s="66">
        <v>0</v>
      </c>
      <c r="Q101" s="67">
        <f t="shared" si="80"/>
        <v>449426059</v>
      </c>
      <c r="S101" s="68">
        <f t="shared" si="77"/>
        <v>0</v>
      </c>
      <c r="T101" s="67">
        <f t="shared" si="77"/>
        <v>0</v>
      </c>
      <c r="U101" s="67">
        <f t="shared" si="77"/>
        <v>0</v>
      </c>
      <c r="V101" s="67">
        <f t="shared" si="77"/>
        <v>0</v>
      </c>
      <c r="W101" s="67">
        <f t="shared" si="77"/>
        <v>0</v>
      </c>
      <c r="X101" s="67">
        <f t="shared" si="78"/>
        <v>0</v>
      </c>
      <c r="Y101" s="67">
        <f t="shared" si="79"/>
        <v>22471302.950000003</v>
      </c>
      <c r="Z101" s="67">
        <f t="shared" si="72"/>
        <v>22471302.950000003</v>
      </c>
      <c r="AA101" s="62"/>
      <c r="AB101" s="67">
        <f t="shared" si="73"/>
        <v>0</v>
      </c>
      <c r="AC101" s="67">
        <f t="shared" si="73"/>
        <v>0</v>
      </c>
      <c r="AD101" s="67">
        <f t="shared" si="73"/>
        <v>0</v>
      </c>
      <c r="AE101" s="67">
        <f t="shared" si="73"/>
        <v>0</v>
      </c>
      <c r="AF101" s="67">
        <f t="shared" si="73"/>
        <v>0</v>
      </c>
      <c r="AG101" s="67">
        <f t="shared" si="73"/>
        <v>0</v>
      </c>
      <c r="AH101" s="67">
        <f t="shared" si="74"/>
        <v>7490434.3166666673</v>
      </c>
      <c r="AI101" s="67">
        <f t="shared" si="81"/>
        <v>7490434.3166666673</v>
      </c>
      <c r="AJ101" s="67">
        <f t="shared" si="81"/>
        <v>7490434.3166666673</v>
      </c>
      <c r="AK101" s="67"/>
      <c r="AL101" s="67"/>
      <c r="AM101" s="67"/>
      <c r="AN101" s="67">
        <f t="shared" si="76"/>
        <v>22471302.950000003</v>
      </c>
    </row>
    <row r="102" spans="2:40" outlineLevel="2" x14ac:dyDescent="0.25">
      <c r="B102" s="63" t="s">
        <v>173</v>
      </c>
      <c r="C102" s="64">
        <v>890001639</v>
      </c>
      <c r="D102" s="65" t="s">
        <v>194</v>
      </c>
      <c r="E102" s="66">
        <v>35</v>
      </c>
      <c r="F102" s="66">
        <v>0</v>
      </c>
      <c r="G102" s="66">
        <v>0</v>
      </c>
      <c r="H102" s="66">
        <f t="shared" si="63"/>
        <v>0</v>
      </c>
      <c r="I102" s="66">
        <v>0</v>
      </c>
      <c r="J102" s="66">
        <v>0</v>
      </c>
      <c r="K102" s="66">
        <v>0</v>
      </c>
      <c r="L102" s="66">
        <v>0</v>
      </c>
      <c r="M102" s="66">
        <v>0</v>
      </c>
      <c r="N102" s="66">
        <v>40190319</v>
      </c>
      <c r="O102" s="66">
        <v>0</v>
      </c>
      <c r="P102" s="66">
        <v>0</v>
      </c>
      <c r="Q102" s="67">
        <f t="shared" si="80"/>
        <v>40190319</v>
      </c>
      <c r="S102" s="68">
        <f t="shared" si="77"/>
        <v>0</v>
      </c>
      <c r="T102" s="67">
        <f t="shared" si="77"/>
        <v>0</v>
      </c>
      <c r="U102" s="67">
        <f t="shared" si="77"/>
        <v>0</v>
      </c>
      <c r="V102" s="67">
        <f t="shared" si="77"/>
        <v>0</v>
      </c>
      <c r="W102" s="67">
        <f t="shared" si="77"/>
        <v>0</v>
      </c>
      <c r="X102" s="67">
        <f t="shared" si="78"/>
        <v>0</v>
      </c>
      <c r="Y102" s="67">
        <f t="shared" si="79"/>
        <v>2009515.9500000002</v>
      </c>
      <c r="Z102" s="67">
        <f t="shared" si="72"/>
        <v>2009515.9500000002</v>
      </c>
      <c r="AA102" s="62"/>
      <c r="AB102" s="67">
        <f t="shared" si="73"/>
        <v>0</v>
      </c>
      <c r="AC102" s="67">
        <f t="shared" si="73"/>
        <v>0</v>
      </c>
      <c r="AD102" s="67">
        <f t="shared" si="73"/>
        <v>0</v>
      </c>
      <c r="AE102" s="67">
        <f t="shared" si="73"/>
        <v>0</v>
      </c>
      <c r="AF102" s="67">
        <f t="shared" si="73"/>
        <v>0</v>
      </c>
      <c r="AG102" s="67">
        <f t="shared" si="73"/>
        <v>0</v>
      </c>
      <c r="AH102" s="67">
        <f t="shared" si="74"/>
        <v>669838.65</v>
      </c>
      <c r="AI102" s="67">
        <f t="shared" si="81"/>
        <v>669838.65</v>
      </c>
      <c r="AJ102" s="67">
        <f t="shared" si="81"/>
        <v>669838.65</v>
      </c>
      <c r="AK102" s="67"/>
      <c r="AL102" s="67"/>
      <c r="AM102" s="67"/>
      <c r="AN102" s="67">
        <f t="shared" si="76"/>
        <v>2009515.9500000002</v>
      </c>
    </row>
    <row r="103" spans="2:40" outlineLevel="2" x14ac:dyDescent="0.25">
      <c r="B103" s="63" t="s">
        <v>173</v>
      </c>
      <c r="C103" s="64">
        <v>890102006</v>
      </c>
      <c r="D103" s="65" t="s">
        <v>195</v>
      </c>
      <c r="E103" s="66">
        <v>82</v>
      </c>
      <c r="F103" s="66">
        <v>0</v>
      </c>
      <c r="G103" s="66">
        <v>0</v>
      </c>
      <c r="H103" s="66">
        <f t="shared" si="63"/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136498728</v>
      </c>
      <c r="O103" s="66">
        <v>0</v>
      </c>
      <c r="P103" s="66">
        <v>0</v>
      </c>
      <c r="Q103" s="67">
        <f t="shared" si="80"/>
        <v>136498728</v>
      </c>
      <c r="S103" s="68">
        <f t="shared" si="77"/>
        <v>0</v>
      </c>
      <c r="T103" s="67">
        <f t="shared" si="77"/>
        <v>0</v>
      </c>
      <c r="U103" s="67">
        <f t="shared" si="77"/>
        <v>0</v>
      </c>
      <c r="V103" s="67">
        <f t="shared" si="77"/>
        <v>0</v>
      </c>
      <c r="W103" s="67">
        <f t="shared" si="77"/>
        <v>0</v>
      </c>
      <c r="X103" s="67">
        <f t="shared" si="78"/>
        <v>0</v>
      </c>
      <c r="Y103" s="67">
        <f t="shared" si="79"/>
        <v>6824936.4000000004</v>
      </c>
      <c r="Z103" s="67">
        <f t="shared" si="72"/>
        <v>6824936.4000000004</v>
      </c>
      <c r="AA103" s="62"/>
      <c r="AB103" s="67">
        <f t="shared" si="73"/>
        <v>0</v>
      </c>
      <c r="AC103" s="67">
        <f t="shared" si="73"/>
        <v>0</v>
      </c>
      <c r="AD103" s="67">
        <f t="shared" si="73"/>
        <v>0</v>
      </c>
      <c r="AE103" s="67">
        <f t="shared" si="73"/>
        <v>0</v>
      </c>
      <c r="AF103" s="67">
        <f t="shared" si="73"/>
        <v>0</v>
      </c>
      <c r="AG103" s="67">
        <f t="shared" si="73"/>
        <v>0</v>
      </c>
      <c r="AH103" s="67">
        <f t="shared" si="74"/>
        <v>2274978.8000000003</v>
      </c>
      <c r="AI103" s="67">
        <f t="shared" si="81"/>
        <v>2274978.8000000003</v>
      </c>
      <c r="AJ103" s="67">
        <f t="shared" si="81"/>
        <v>2274978.8000000003</v>
      </c>
      <c r="AK103" s="67"/>
      <c r="AL103" s="67"/>
      <c r="AM103" s="67"/>
      <c r="AN103" s="67">
        <f t="shared" si="76"/>
        <v>6824936.4000000004</v>
      </c>
    </row>
    <row r="104" spans="2:40" outlineLevel="2" x14ac:dyDescent="0.25">
      <c r="B104" s="63" t="s">
        <v>173</v>
      </c>
      <c r="C104" s="64">
        <v>890102018</v>
      </c>
      <c r="D104" s="65" t="s">
        <v>196</v>
      </c>
      <c r="E104" s="66">
        <v>1</v>
      </c>
      <c r="F104" s="66">
        <v>0</v>
      </c>
      <c r="G104" s="66">
        <v>0</v>
      </c>
      <c r="H104" s="66">
        <f t="shared" si="63"/>
        <v>0</v>
      </c>
      <c r="I104" s="66">
        <v>0</v>
      </c>
      <c r="J104" s="66">
        <v>0</v>
      </c>
      <c r="K104" s="66">
        <v>0</v>
      </c>
      <c r="L104" s="66">
        <v>0</v>
      </c>
      <c r="M104" s="66">
        <v>0</v>
      </c>
      <c r="N104" s="66">
        <v>593200</v>
      </c>
      <c r="O104" s="66">
        <v>0</v>
      </c>
      <c r="P104" s="66">
        <v>0</v>
      </c>
      <c r="Q104" s="67">
        <f t="shared" si="80"/>
        <v>593200</v>
      </c>
      <c r="S104" s="68">
        <f t="shared" si="77"/>
        <v>0</v>
      </c>
      <c r="T104" s="67">
        <f t="shared" si="77"/>
        <v>0</v>
      </c>
      <c r="U104" s="67">
        <f t="shared" si="77"/>
        <v>0</v>
      </c>
      <c r="V104" s="67">
        <f t="shared" si="77"/>
        <v>0</v>
      </c>
      <c r="W104" s="67">
        <f t="shared" si="77"/>
        <v>0</v>
      </c>
      <c r="X104" s="67">
        <f t="shared" si="78"/>
        <v>0</v>
      </c>
      <c r="Y104" s="67">
        <f t="shared" si="79"/>
        <v>29660</v>
      </c>
      <c r="Z104" s="67">
        <f t="shared" si="72"/>
        <v>29660</v>
      </c>
      <c r="AA104" s="62"/>
      <c r="AB104" s="67">
        <f t="shared" si="73"/>
        <v>0</v>
      </c>
      <c r="AC104" s="67">
        <f t="shared" si="73"/>
        <v>0</v>
      </c>
      <c r="AD104" s="67">
        <f t="shared" si="73"/>
        <v>0</v>
      </c>
      <c r="AE104" s="67">
        <f t="shared" si="73"/>
        <v>0</v>
      </c>
      <c r="AF104" s="67">
        <f t="shared" si="73"/>
        <v>0</v>
      </c>
      <c r="AG104" s="67">
        <f t="shared" si="73"/>
        <v>0</v>
      </c>
      <c r="AH104" s="67">
        <f t="shared" si="74"/>
        <v>9886.6666666666661</v>
      </c>
      <c r="AI104" s="67">
        <f t="shared" si="81"/>
        <v>9886.6666666666661</v>
      </c>
      <c r="AJ104" s="67">
        <f t="shared" si="81"/>
        <v>9886.6666666666661</v>
      </c>
      <c r="AK104" s="67"/>
      <c r="AL104" s="67"/>
      <c r="AM104" s="67"/>
      <c r="AN104" s="67">
        <f t="shared" si="76"/>
        <v>29660</v>
      </c>
    </row>
    <row r="105" spans="2:40" outlineLevel="2" x14ac:dyDescent="0.25">
      <c r="B105" s="63" t="s">
        <v>173</v>
      </c>
      <c r="C105" s="64">
        <v>890201235</v>
      </c>
      <c r="D105" s="65" t="s">
        <v>174</v>
      </c>
      <c r="E105" s="66">
        <v>3</v>
      </c>
      <c r="F105" s="66">
        <v>0</v>
      </c>
      <c r="G105" s="66">
        <v>0</v>
      </c>
      <c r="H105" s="66">
        <f t="shared" si="63"/>
        <v>0</v>
      </c>
      <c r="I105" s="66"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v>13463294</v>
      </c>
      <c r="O105" s="66">
        <v>0</v>
      </c>
      <c r="P105" s="66">
        <v>0</v>
      </c>
      <c r="Q105" s="67">
        <f t="shared" si="80"/>
        <v>13463294</v>
      </c>
      <c r="S105" s="68">
        <f t="shared" si="77"/>
        <v>0</v>
      </c>
      <c r="T105" s="67">
        <f t="shared" si="77"/>
        <v>0</v>
      </c>
      <c r="U105" s="67">
        <f t="shared" si="77"/>
        <v>0</v>
      </c>
      <c r="V105" s="67">
        <f t="shared" si="77"/>
        <v>0</v>
      </c>
      <c r="W105" s="67">
        <f t="shared" si="77"/>
        <v>0</v>
      </c>
      <c r="X105" s="67">
        <f t="shared" si="78"/>
        <v>0</v>
      </c>
      <c r="Y105" s="67">
        <f t="shared" si="79"/>
        <v>673164.70000000007</v>
      </c>
      <c r="Z105" s="67">
        <f t="shared" si="72"/>
        <v>673164.70000000007</v>
      </c>
      <c r="AA105" s="62"/>
      <c r="AB105" s="67">
        <f t="shared" si="73"/>
        <v>0</v>
      </c>
      <c r="AC105" s="67">
        <f t="shared" si="73"/>
        <v>0</v>
      </c>
      <c r="AD105" s="67">
        <f t="shared" si="73"/>
        <v>0</v>
      </c>
      <c r="AE105" s="67">
        <f t="shared" si="73"/>
        <v>0</v>
      </c>
      <c r="AF105" s="67">
        <f t="shared" si="73"/>
        <v>0</v>
      </c>
      <c r="AG105" s="67">
        <f t="shared" si="73"/>
        <v>0</v>
      </c>
      <c r="AH105" s="67">
        <f t="shared" si="74"/>
        <v>224388.23333333337</v>
      </c>
      <c r="AI105" s="67">
        <f t="shared" si="81"/>
        <v>224388.23333333337</v>
      </c>
      <c r="AJ105" s="67">
        <f t="shared" si="81"/>
        <v>224388.23333333337</v>
      </c>
      <c r="AK105" s="67"/>
      <c r="AL105" s="67"/>
      <c r="AM105" s="67"/>
      <c r="AN105" s="67">
        <f t="shared" si="76"/>
        <v>673164.70000000007</v>
      </c>
    </row>
    <row r="106" spans="2:40" outlineLevel="2" x14ac:dyDescent="0.25">
      <c r="B106" s="63" t="s">
        <v>173</v>
      </c>
      <c r="C106" s="64">
        <v>890399029</v>
      </c>
      <c r="D106" s="65" t="s">
        <v>197</v>
      </c>
      <c r="E106" s="66">
        <v>120</v>
      </c>
      <c r="F106" s="66">
        <v>0</v>
      </c>
      <c r="G106" s="66">
        <v>0</v>
      </c>
      <c r="H106" s="66">
        <f t="shared" si="63"/>
        <v>0</v>
      </c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90767330</v>
      </c>
      <c r="O106" s="66">
        <v>0</v>
      </c>
      <c r="P106" s="66">
        <v>0</v>
      </c>
      <c r="Q106" s="67">
        <f t="shared" si="80"/>
        <v>90767330</v>
      </c>
      <c r="S106" s="68">
        <f t="shared" si="77"/>
        <v>0</v>
      </c>
      <c r="T106" s="67">
        <f t="shared" si="77"/>
        <v>0</v>
      </c>
      <c r="U106" s="67">
        <f t="shared" si="77"/>
        <v>0</v>
      </c>
      <c r="V106" s="67">
        <f t="shared" si="77"/>
        <v>0</v>
      </c>
      <c r="W106" s="67">
        <f t="shared" si="77"/>
        <v>0</v>
      </c>
      <c r="X106" s="67">
        <f t="shared" si="78"/>
        <v>0</v>
      </c>
      <c r="Y106" s="67">
        <f t="shared" si="79"/>
        <v>4538366.5</v>
      </c>
      <c r="Z106" s="67">
        <f t="shared" si="72"/>
        <v>4538366.5</v>
      </c>
      <c r="AA106" s="62"/>
      <c r="AB106" s="67">
        <f t="shared" si="73"/>
        <v>0</v>
      </c>
      <c r="AC106" s="67">
        <f t="shared" si="73"/>
        <v>0</v>
      </c>
      <c r="AD106" s="67">
        <f t="shared" si="73"/>
        <v>0</v>
      </c>
      <c r="AE106" s="67">
        <f t="shared" si="73"/>
        <v>0</v>
      </c>
      <c r="AF106" s="67">
        <f t="shared" si="73"/>
        <v>0</v>
      </c>
      <c r="AG106" s="67">
        <f t="shared" si="73"/>
        <v>0</v>
      </c>
      <c r="AH106" s="67">
        <f t="shared" si="74"/>
        <v>1512788.8333333333</v>
      </c>
      <c r="AI106" s="67">
        <f t="shared" si="81"/>
        <v>1512788.8333333333</v>
      </c>
      <c r="AJ106" s="67">
        <f t="shared" si="81"/>
        <v>1512788.8333333333</v>
      </c>
      <c r="AK106" s="67"/>
      <c r="AL106" s="67"/>
      <c r="AM106" s="67"/>
      <c r="AN106" s="67">
        <f t="shared" si="76"/>
        <v>4538366.5</v>
      </c>
    </row>
    <row r="107" spans="2:40" outlineLevel="2" x14ac:dyDescent="0.25">
      <c r="B107" s="63" t="s">
        <v>173</v>
      </c>
      <c r="C107" s="64">
        <v>890480126</v>
      </c>
      <c r="D107" s="65" t="s">
        <v>198</v>
      </c>
      <c r="E107" s="66">
        <v>203</v>
      </c>
      <c r="F107" s="66">
        <v>0</v>
      </c>
      <c r="G107" s="66">
        <v>0</v>
      </c>
      <c r="H107" s="66">
        <f t="shared" si="63"/>
        <v>0</v>
      </c>
      <c r="I107" s="66">
        <v>0</v>
      </c>
      <c r="J107" s="66">
        <v>0</v>
      </c>
      <c r="K107" s="66">
        <v>0</v>
      </c>
      <c r="L107" s="66">
        <v>0</v>
      </c>
      <c r="M107" s="66">
        <v>0</v>
      </c>
      <c r="N107" s="66">
        <v>250590415</v>
      </c>
      <c r="O107" s="66">
        <v>0</v>
      </c>
      <c r="P107" s="66">
        <v>0</v>
      </c>
      <c r="Q107" s="67">
        <f t="shared" si="80"/>
        <v>250590415</v>
      </c>
      <c r="S107" s="68">
        <f t="shared" si="77"/>
        <v>0</v>
      </c>
      <c r="T107" s="67">
        <f t="shared" si="77"/>
        <v>0</v>
      </c>
      <c r="U107" s="67">
        <f t="shared" si="77"/>
        <v>0</v>
      </c>
      <c r="V107" s="67">
        <f t="shared" si="77"/>
        <v>0</v>
      </c>
      <c r="W107" s="67">
        <f t="shared" si="77"/>
        <v>0</v>
      </c>
      <c r="X107" s="67">
        <f t="shared" si="78"/>
        <v>0</v>
      </c>
      <c r="Y107" s="67">
        <f t="shared" si="79"/>
        <v>12529520.75</v>
      </c>
      <c r="Z107" s="67">
        <f t="shared" si="72"/>
        <v>12529520.75</v>
      </c>
      <c r="AA107" s="62"/>
      <c r="AB107" s="67">
        <f t="shared" si="73"/>
        <v>0</v>
      </c>
      <c r="AC107" s="67">
        <f t="shared" si="73"/>
        <v>0</v>
      </c>
      <c r="AD107" s="67">
        <f t="shared" si="73"/>
        <v>0</v>
      </c>
      <c r="AE107" s="67">
        <f t="shared" si="73"/>
        <v>0</v>
      </c>
      <c r="AF107" s="67">
        <f t="shared" si="73"/>
        <v>0</v>
      </c>
      <c r="AG107" s="67">
        <f t="shared" si="73"/>
        <v>0</v>
      </c>
      <c r="AH107" s="67">
        <f t="shared" si="74"/>
        <v>4176506.9166666665</v>
      </c>
      <c r="AI107" s="67">
        <f t="shared" si="81"/>
        <v>4176506.9166666665</v>
      </c>
      <c r="AJ107" s="67">
        <f t="shared" si="81"/>
        <v>4176506.9166666665</v>
      </c>
      <c r="AK107" s="67"/>
      <c r="AL107" s="67"/>
      <c r="AM107" s="67"/>
      <c r="AN107" s="67">
        <f t="shared" si="76"/>
        <v>12529520.75</v>
      </c>
    </row>
    <row r="108" spans="2:40" outlineLevel="2" x14ac:dyDescent="0.25">
      <c r="B108" s="63" t="s">
        <v>173</v>
      </c>
      <c r="C108" s="64">
        <v>890480184</v>
      </c>
      <c r="D108" s="65" t="s">
        <v>199</v>
      </c>
      <c r="E108" s="66">
        <v>17</v>
      </c>
      <c r="F108" s="66">
        <v>0</v>
      </c>
      <c r="G108" s="66">
        <v>0</v>
      </c>
      <c r="H108" s="66">
        <f t="shared" si="63"/>
        <v>0</v>
      </c>
      <c r="I108" s="66">
        <v>0</v>
      </c>
      <c r="J108" s="66">
        <v>0</v>
      </c>
      <c r="K108" s="66">
        <v>0</v>
      </c>
      <c r="L108" s="66">
        <v>57700</v>
      </c>
      <c r="M108" s="66">
        <v>0</v>
      </c>
      <c r="N108" s="66">
        <v>14510588</v>
      </c>
      <c r="O108" s="66">
        <v>0</v>
      </c>
      <c r="P108" s="66">
        <v>0</v>
      </c>
      <c r="Q108" s="67">
        <f t="shared" si="80"/>
        <v>14568288</v>
      </c>
      <c r="S108" s="68">
        <f t="shared" si="77"/>
        <v>0</v>
      </c>
      <c r="T108" s="67">
        <f t="shared" si="77"/>
        <v>0</v>
      </c>
      <c r="U108" s="67">
        <f t="shared" si="77"/>
        <v>0</v>
      </c>
      <c r="V108" s="67">
        <f t="shared" si="77"/>
        <v>0</v>
      </c>
      <c r="W108" s="67">
        <f t="shared" si="77"/>
        <v>17310</v>
      </c>
      <c r="X108" s="67">
        <f t="shared" si="78"/>
        <v>0</v>
      </c>
      <c r="Y108" s="67">
        <f t="shared" si="79"/>
        <v>727548.9</v>
      </c>
      <c r="Z108" s="67">
        <f t="shared" si="72"/>
        <v>744858.9</v>
      </c>
      <c r="AA108" s="62"/>
      <c r="AB108" s="67">
        <f t="shared" si="73"/>
        <v>0</v>
      </c>
      <c r="AC108" s="67">
        <f t="shared" si="73"/>
        <v>0</v>
      </c>
      <c r="AD108" s="67">
        <f t="shared" si="73"/>
        <v>0</v>
      </c>
      <c r="AE108" s="67">
        <f t="shared" si="73"/>
        <v>0</v>
      </c>
      <c r="AF108" s="67">
        <f t="shared" si="73"/>
        <v>17310</v>
      </c>
      <c r="AG108" s="67">
        <f t="shared" si="73"/>
        <v>0</v>
      </c>
      <c r="AH108" s="67">
        <f t="shared" si="74"/>
        <v>242516.30000000002</v>
      </c>
      <c r="AI108" s="67">
        <f t="shared" si="81"/>
        <v>242516.30000000002</v>
      </c>
      <c r="AJ108" s="67">
        <f t="shared" si="81"/>
        <v>242516.30000000002</v>
      </c>
      <c r="AK108" s="67"/>
      <c r="AL108" s="67"/>
      <c r="AM108" s="67"/>
      <c r="AN108" s="67">
        <f t="shared" si="76"/>
        <v>744858.9</v>
      </c>
    </row>
    <row r="109" spans="2:40" outlineLevel="2" x14ac:dyDescent="0.25">
      <c r="B109" s="63" t="s">
        <v>173</v>
      </c>
      <c r="C109" s="64">
        <v>890500890</v>
      </c>
      <c r="D109" s="65" t="s">
        <v>200</v>
      </c>
      <c r="E109" s="66">
        <v>48</v>
      </c>
      <c r="F109" s="66">
        <v>0</v>
      </c>
      <c r="G109" s="66">
        <v>0</v>
      </c>
      <c r="H109" s="66">
        <f t="shared" si="63"/>
        <v>0</v>
      </c>
      <c r="I109" s="66">
        <v>0</v>
      </c>
      <c r="J109" s="66">
        <v>0</v>
      </c>
      <c r="K109" s="66">
        <v>0</v>
      </c>
      <c r="L109" s="66">
        <v>0</v>
      </c>
      <c r="M109" s="66">
        <v>7285272</v>
      </c>
      <c r="N109" s="66">
        <v>105059150</v>
      </c>
      <c r="O109" s="66">
        <v>0</v>
      </c>
      <c r="P109" s="66">
        <v>0</v>
      </c>
      <c r="Q109" s="67">
        <f t="shared" si="80"/>
        <v>112344422</v>
      </c>
      <c r="S109" s="68">
        <f t="shared" si="77"/>
        <v>0</v>
      </c>
      <c r="T109" s="67">
        <f t="shared" si="77"/>
        <v>0</v>
      </c>
      <c r="U109" s="67">
        <f t="shared" si="77"/>
        <v>0</v>
      </c>
      <c r="V109" s="67">
        <f t="shared" si="77"/>
        <v>0</v>
      </c>
      <c r="W109" s="67">
        <f t="shared" si="77"/>
        <v>0</v>
      </c>
      <c r="X109" s="67">
        <f t="shared" si="78"/>
        <v>2914108.8000000003</v>
      </c>
      <c r="Y109" s="67">
        <f t="shared" si="79"/>
        <v>5471515.6600000001</v>
      </c>
      <c r="Z109" s="67">
        <f t="shared" si="72"/>
        <v>8385624.4600000009</v>
      </c>
      <c r="AA109" s="62"/>
      <c r="AB109" s="67">
        <f t="shared" si="73"/>
        <v>0</v>
      </c>
      <c r="AC109" s="67">
        <f t="shared" si="73"/>
        <v>0</v>
      </c>
      <c r="AD109" s="67">
        <f t="shared" si="73"/>
        <v>0</v>
      </c>
      <c r="AE109" s="67">
        <f t="shared" si="73"/>
        <v>0</v>
      </c>
      <c r="AF109" s="67">
        <f t="shared" si="73"/>
        <v>0</v>
      </c>
      <c r="AG109" s="67">
        <f t="shared" si="73"/>
        <v>2914108.8000000003</v>
      </c>
      <c r="AH109" s="67">
        <f t="shared" si="74"/>
        <v>1823838.5533333335</v>
      </c>
      <c r="AI109" s="67">
        <f t="shared" si="81"/>
        <v>1823838.5533333335</v>
      </c>
      <c r="AJ109" s="67">
        <f t="shared" si="81"/>
        <v>1823838.5533333335</v>
      </c>
      <c r="AK109" s="67"/>
      <c r="AL109" s="67"/>
      <c r="AM109" s="67"/>
      <c r="AN109" s="67">
        <f t="shared" si="76"/>
        <v>8385624.4600000009</v>
      </c>
    </row>
    <row r="110" spans="2:40" outlineLevel="2" x14ac:dyDescent="0.25">
      <c r="B110" s="63" t="s">
        <v>173</v>
      </c>
      <c r="C110" s="64">
        <v>890716145</v>
      </c>
      <c r="D110" s="65" t="s">
        <v>201</v>
      </c>
      <c r="E110" s="66">
        <v>26</v>
      </c>
      <c r="F110" s="66">
        <v>0</v>
      </c>
      <c r="G110" s="66">
        <v>0</v>
      </c>
      <c r="H110" s="66">
        <f t="shared" si="63"/>
        <v>0</v>
      </c>
      <c r="I110" s="66">
        <v>0</v>
      </c>
      <c r="J110" s="66">
        <v>0</v>
      </c>
      <c r="K110" s="66">
        <v>0</v>
      </c>
      <c r="L110" s="66">
        <v>0</v>
      </c>
      <c r="M110" s="66">
        <v>0</v>
      </c>
      <c r="N110" s="66">
        <v>62389378</v>
      </c>
      <c r="O110" s="66">
        <v>0</v>
      </c>
      <c r="P110" s="66">
        <v>-4471892</v>
      </c>
      <c r="Q110" s="67">
        <f t="shared" si="80"/>
        <v>57917486</v>
      </c>
      <c r="S110" s="68">
        <f t="shared" si="77"/>
        <v>0</v>
      </c>
      <c r="T110" s="67">
        <f t="shared" si="77"/>
        <v>0</v>
      </c>
      <c r="U110" s="67">
        <f t="shared" si="77"/>
        <v>0</v>
      </c>
      <c r="V110" s="67">
        <f t="shared" si="77"/>
        <v>0</v>
      </c>
      <c r="W110" s="67">
        <f t="shared" si="77"/>
        <v>0</v>
      </c>
      <c r="X110" s="67">
        <f t="shared" si="78"/>
        <v>0</v>
      </c>
      <c r="Y110" s="67">
        <f t="shared" si="79"/>
        <v>2895874.3000000003</v>
      </c>
      <c r="Z110" s="67">
        <f t="shared" si="72"/>
        <v>2895874.3000000003</v>
      </c>
      <c r="AA110" s="62"/>
      <c r="AB110" s="67">
        <f t="shared" si="73"/>
        <v>0</v>
      </c>
      <c r="AC110" s="67">
        <f t="shared" si="73"/>
        <v>0</v>
      </c>
      <c r="AD110" s="67">
        <f t="shared" si="73"/>
        <v>0</v>
      </c>
      <c r="AE110" s="67">
        <f t="shared" si="73"/>
        <v>0</v>
      </c>
      <c r="AF110" s="67">
        <f t="shared" si="73"/>
        <v>0</v>
      </c>
      <c r="AG110" s="67">
        <f t="shared" si="73"/>
        <v>0</v>
      </c>
      <c r="AH110" s="67">
        <f t="shared" si="74"/>
        <v>965291.43333333347</v>
      </c>
      <c r="AI110" s="67">
        <f t="shared" si="81"/>
        <v>965291.43333333347</v>
      </c>
      <c r="AJ110" s="67">
        <f t="shared" si="81"/>
        <v>965291.43333333347</v>
      </c>
      <c r="AK110" s="67"/>
      <c r="AL110" s="67"/>
      <c r="AM110" s="67"/>
      <c r="AN110" s="67">
        <f t="shared" si="76"/>
        <v>2895874.3000000003</v>
      </c>
    </row>
    <row r="111" spans="2:40" outlineLevel="2" x14ac:dyDescent="0.25">
      <c r="B111" s="63" t="s">
        <v>173</v>
      </c>
      <c r="C111" s="64">
        <v>890900286</v>
      </c>
      <c r="D111" s="65" t="s">
        <v>202</v>
      </c>
      <c r="E111" s="66">
        <v>12</v>
      </c>
      <c r="F111" s="66">
        <v>0</v>
      </c>
      <c r="G111" s="66">
        <v>0</v>
      </c>
      <c r="H111" s="66">
        <f t="shared" si="63"/>
        <v>0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11929048</v>
      </c>
      <c r="O111" s="66">
        <v>0</v>
      </c>
      <c r="P111" s="66">
        <v>0</v>
      </c>
      <c r="Q111" s="67">
        <f t="shared" si="80"/>
        <v>11929048</v>
      </c>
      <c r="S111" s="68">
        <f t="shared" si="77"/>
        <v>0</v>
      </c>
      <c r="T111" s="67">
        <f t="shared" si="77"/>
        <v>0</v>
      </c>
      <c r="U111" s="67">
        <f t="shared" si="77"/>
        <v>0</v>
      </c>
      <c r="V111" s="67">
        <f t="shared" si="77"/>
        <v>0</v>
      </c>
      <c r="W111" s="67">
        <f t="shared" si="77"/>
        <v>0</v>
      </c>
      <c r="X111" s="67">
        <f t="shared" si="78"/>
        <v>0</v>
      </c>
      <c r="Y111" s="67">
        <f t="shared" si="79"/>
        <v>596452.4</v>
      </c>
      <c r="Z111" s="67">
        <f t="shared" si="72"/>
        <v>596452.4</v>
      </c>
      <c r="AA111" s="62"/>
      <c r="AB111" s="67">
        <f t="shared" si="73"/>
        <v>0</v>
      </c>
      <c r="AC111" s="67">
        <f t="shared" si="73"/>
        <v>0</v>
      </c>
      <c r="AD111" s="67">
        <f t="shared" si="73"/>
        <v>0</v>
      </c>
      <c r="AE111" s="67">
        <f t="shared" si="73"/>
        <v>0</v>
      </c>
      <c r="AF111" s="67">
        <f t="shared" si="73"/>
        <v>0</v>
      </c>
      <c r="AG111" s="67">
        <f t="shared" si="73"/>
        <v>0</v>
      </c>
      <c r="AH111" s="67">
        <f t="shared" si="74"/>
        <v>198817.46666666667</v>
      </c>
      <c r="AI111" s="67">
        <f t="shared" si="81"/>
        <v>198817.46666666667</v>
      </c>
      <c r="AJ111" s="67">
        <f t="shared" si="81"/>
        <v>198817.46666666667</v>
      </c>
      <c r="AK111" s="67"/>
      <c r="AL111" s="67"/>
      <c r="AM111" s="67"/>
      <c r="AN111" s="67">
        <f t="shared" si="76"/>
        <v>596452.4</v>
      </c>
    </row>
    <row r="112" spans="2:40" outlineLevel="2" x14ac:dyDescent="0.25">
      <c r="B112" s="63" t="s">
        <v>173</v>
      </c>
      <c r="C112" s="64">
        <v>890906445</v>
      </c>
      <c r="D112" s="65" t="s">
        <v>203</v>
      </c>
      <c r="E112" s="66">
        <v>1</v>
      </c>
      <c r="F112" s="66">
        <v>0</v>
      </c>
      <c r="G112" s="66">
        <v>0</v>
      </c>
      <c r="H112" s="66">
        <f t="shared" si="63"/>
        <v>0</v>
      </c>
      <c r="I112" s="66">
        <v>0</v>
      </c>
      <c r="J112" s="66">
        <v>0</v>
      </c>
      <c r="K112" s="66">
        <v>0</v>
      </c>
      <c r="L112" s="66">
        <v>0</v>
      </c>
      <c r="M112" s="66">
        <v>0</v>
      </c>
      <c r="N112" s="66">
        <v>103210</v>
      </c>
      <c r="O112" s="66">
        <v>0</v>
      </c>
      <c r="P112" s="66">
        <v>0</v>
      </c>
      <c r="Q112" s="67">
        <f t="shared" si="80"/>
        <v>103210</v>
      </c>
      <c r="S112" s="68">
        <f t="shared" si="77"/>
        <v>0</v>
      </c>
      <c r="T112" s="67">
        <f t="shared" si="77"/>
        <v>0</v>
      </c>
      <c r="U112" s="67">
        <f t="shared" si="77"/>
        <v>0</v>
      </c>
      <c r="V112" s="67">
        <f t="shared" si="77"/>
        <v>0</v>
      </c>
      <c r="W112" s="67">
        <f t="shared" si="77"/>
        <v>0</v>
      </c>
      <c r="X112" s="67">
        <f t="shared" si="78"/>
        <v>0</v>
      </c>
      <c r="Y112" s="67">
        <f t="shared" si="79"/>
        <v>5160.5</v>
      </c>
      <c r="Z112" s="67">
        <f t="shared" si="72"/>
        <v>5160.5</v>
      </c>
      <c r="AA112" s="62"/>
      <c r="AB112" s="67">
        <f t="shared" si="73"/>
        <v>0</v>
      </c>
      <c r="AC112" s="67">
        <f t="shared" si="73"/>
        <v>0</v>
      </c>
      <c r="AD112" s="67">
        <f t="shared" si="73"/>
        <v>0</v>
      </c>
      <c r="AE112" s="67">
        <f t="shared" si="73"/>
        <v>0</v>
      </c>
      <c r="AF112" s="67">
        <f t="shared" si="73"/>
        <v>0</v>
      </c>
      <c r="AG112" s="67">
        <f t="shared" si="73"/>
        <v>0</v>
      </c>
      <c r="AH112" s="67">
        <f t="shared" si="74"/>
        <v>1720.1666666666667</v>
      </c>
      <c r="AI112" s="67">
        <f t="shared" si="81"/>
        <v>1720.1666666666667</v>
      </c>
      <c r="AJ112" s="67">
        <f t="shared" si="81"/>
        <v>1720.1666666666667</v>
      </c>
      <c r="AK112" s="67"/>
      <c r="AL112" s="67"/>
      <c r="AM112" s="67"/>
      <c r="AN112" s="67">
        <f t="shared" si="76"/>
        <v>5160.5</v>
      </c>
    </row>
    <row r="113" spans="2:40" outlineLevel="2" x14ac:dyDescent="0.25">
      <c r="B113" s="63" t="s">
        <v>173</v>
      </c>
      <c r="C113" s="64">
        <v>890980998</v>
      </c>
      <c r="D113" s="65" t="s">
        <v>204</v>
      </c>
      <c r="E113" s="66">
        <v>2</v>
      </c>
      <c r="F113" s="66">
        <v>0</v>
      </c>
      <c r="G113" s="66">
        <v>0</v>
      </c>
      <c r="H113" s="66">
        <f t="shared" si="63"/>
        <v>0</v>
      </c>
      <c r="I113" s="66">
        <v>0</v>
      </c>
      <c r="J113" s="66">
        <v>0</v>
      </c>
      <c r="K113" s="66">
        <v>0</v>
      </c>
      <c r="L113" s="66">
        <v>0</v>
      </c>
      <c r="M113" s="66">
        <v>0</v>
      </c>
      <c r="N113" s="66">
        <v>388357</v>
      </c>
      <c r="O113" s="66">
        <v>0</v>
      </c>
      <c r="P113" s="66">
        <v>0</v>
      </c>
      <c r="Q113" s="67">
        <f t="shared" si="80"/>
        <v>388357</v>
      </c>
      <c r="S113" s="68">
        <f t="shared" si="77"/>
        <v>0</v>
      </c>
      <c r="T113" s="67">
        <f t="shared" si="77"/>
        <v>0</v>
      </c>
      <c r="U113" s="67">
        <f t="shared" si="77"/>
        <v>0</v>
      </c>
      <c r="V113" s="67">
        <f t="shared" si="77"/>
        <v>0</v>
      </c>
      <c r="W113" s="67">
        <f t="shared" si="77"/>
        <v>0</v>
      </c>
      <c r="X113" s="67">
        <f t="shared" si="78"/>
        <v>0</v>
      </c>
      <c r="Y113" s="67">
        <f t="shared" si="79"/>
        <v>19417.850000000002</v>
      </c>
      <c r="Z113" s="67">
        <f t="shared" si="72"/>
        <v>19417.850000000002</v>
      </c>
      <c r="AA113" s="62"/>
      <c r="AB113" s="67">
        <f t="shared" si="73"/>
        <v>0</v>
      </c>
      <c r="AC113" s="67">
        <f t="shared" si="73"/>
        <v>0</v>
      </c>
      <c r="AD113" s="67">
        <f t="shared" si="73"/>
        <v>0</v>
      </c>
      <c r="AE113" s="67">
        <f t="shared" si="73"/>
        <v>0</v>
      </c>
      <c r="AF113" s="67">
        <f t="shared" si="73"/>
        <v>0</v>
      </c>
      <c r="AG113" s="67">
        <f t="shared" si="73"/>
        <v>0</v>
      </c>
      <c r="AH113" s="67">
        <f t="shared" si="74"/>
        <v>6472.6166666666677</v>
      </c>
      <c r="AI113" s="67">
        <f t="shared" si="81"/>
        <v>6472.6166666666677</v>
      </c>
      <c r="AJ113" s="67">
        <f t="shared" si="81"/>
        <v>6472.6166666666677</v>
      </c>
      <c r="AK113" s="67"/>
      <c r="AL113" s="67"/>
      <c r="AM113" s="67"/>
      <c r="AN113" s="67">
        <f t="shared" si="76"/>
        <v>19417.850000000002</v>
      </c>
    </row>
    <row r="114" spans="2:40" outlineLevel="2" x14ac:dyDescent="0.25">
      <c r="B114" s="63" t="s">
        <v>173</v>
      </c>
      <c r="C114" s="64">
        <v>891180070</v>
      </c>
      <c r="D114" s="65" t="s">
        <v>205</v>
      </c>
      <c r="E114" s="66">
        <v>5</v>
      </c>
      <c r="F114" s="66">
        <v>0</v>
      </c>
      <c r="G114" s="66">
        <v>0</v>
      </c>
      <c r="H114" s="66">
        <f t="shared" si="63"/>
        <v>0</v>
      </c>
      <c r="I114" s="66">
        <v>0</v>
      </c>
      <c r="J114" s="66">
        <v>0</v>
      </c>
      <c r="K114" s="66">
        <v>0</v>
      </c>
      <c r="L114" s="66">
        <v>0</v>
      </c>
      <c r="M114" s="66">
        <v>0</v>
      </c>
      <c r="N114" s="66">
        <v>3542766</v>
      </c>
      <c r="O114" s="66">
        <v>0</v>
      </c>
      <c r="P114" s="66">
        <v>0</v>
      </c>
      <c r="Q114" s="67">
        <f t="shared" si="80"/>
        <v>3542766</v>
      </c>
      <c r="S114" s="68">
        <f t="shared" si="77"/>
        <v>0</v>
      </c>
      <c r="T114" s="67">
        <f t="shared" si="77"/>
        <v>0</v>
      </c>
      <c r="U114" s="67">
        <f t="shared" si="77"/>
        <v>0</v>
      </c>
      <c r="V114" s="67">
        <f t="shared" si="77"/>
        <v>0</v>
      </c>
      <c r="W114" s="67">
        <f t="shared" si="77"/>
        <v>0</v>
      </c>
      <c r="X114" s="67">
        <f t="shared" si="78"/>
        <v>0</v>
      </c>
      <c r="Y114" s="67">
        <f t="shared" si="79"/>
        <v>177138.30000000002</v>
      </c>
      <c r="Z114" s="67">
        <f t="shared" si="72"/>
        <v>177138.30000000002</v>
      </c>
      <c r="AA114" s="62"/>
      <c r="AB114" s="67">
        <f t="shared" si="73"/>
        <v>0</v>
      </c>
      <c r="AC114" s="67">
        <f t="shared" si="73"/>
        <v>0</v>
      </c>
      <c r="AD114" s="67">
        <f t="shared" si="73"/>
        <v>0</v>
      </c>
      <c r="AE114" s="67">
        <f t="shared" si="73"/>
        <v>0</v>
      </c>
      <c r="AF114" s="67">
        <f t="shared" si="73"/>
        <v>0</v>
      </c>
      <c r="AG114" s="67">
        <f t="shared" si="73"/>
        <v>0</v>
      </c>
      <c r="AH114" s="67">
        <f t="shared" si="74"/>
        <v>59046.100000000006</v>
      </c>
      <c r="AI114" s="67">
        <f t="shared" ref="AI114:AJ129" si="82">+AH114</f>
        <v>59046.100000000006</v>
      </c>
      <c r="AJ114" s="67">
        <f t="shared" si="82"/>
        <v>59046.100000000006</v>
      </c>
      <c r="AK114" s="67"/>
      <c r="AL114" s="67"/>
      <c r="AM114" s="67"/>
      <c r="AN114" s="67">
        <f t="shared" si="76"/>
        <v>177138.30000000002</v>
      </c>
    </row>
    <row r="115" spans="2:40" outlineLevel="2" x14ac:dyDescent="0.25">
      <c r="B115" s="63" t="s">
        <v>173</v>
      </c>
      <c r="C115" s="64">
        <v>891280001</v>
      </c>
      <c r="D115" s="65" t="s">
        <v>206</v>
      </c>
      <c r="E115" s="66">
        <v>28</v>
      </c>
      <c r="F115" s="66">
        <v>0</v>
      </c>
      <c r="G115" s="66">
        <v>0</v>
      </c>
      <c r="H115" s="66">
        <f t="shared" si="63"/>
        <v>0</v>
      </c>
      <c r="I115" s="66">
        <v>0</v>
      </c>
      <c r="J115" s="66">
        <v>0</v>
      </c>
      <c r="K115" s="66">
        <v>0</v>
      </c>
      <c r="L115" s="66">
        <v>0</v>
      </c>
      <c r="M115" s="66">
        <v>0</v>
      </c>
      <c r="N115" s="66">
        <v>55204914</v>
      </c>
      <c r="O115" s="66">
        <v>0</v>
      </c>
      <c r="P115" s="66">
        <v>0</v>
      </c>
      <c r="Q115" s="67">
        <f t="shared" si="80"/>
        <v>55204914</v>
      </c>
      <c r="S115" s="68">
        <f t="shared" si="77"/>
        <v>0</v>
      </c>
      <c r="T115" s="67">
        <f t="shared" si="77"/>
        <v>0</v>
      </c>
      <c r="U115" s="67">
        <f t="shared" si="77"/>
        <v>0</v>
      </c>
      <c r="V115" s="67">
        <f t="shared" si="77"/>
        <v>0</v>
      </c>
      <c r="W115" s="67">
        <f t="shared" si="77"/>
        <v>0</v>
      </c>
      <c r="X115" s="67">
        <f t="shared" si="78"/>
        <v>0</v>
      </c>
      <c r="Y115" s="67">
        <f t="shared" si="79"/>
        <v>2760245.7</v>
      </c>
      <c r="Z115" s="67">
        <f t="shared" si="72"/>
        <v>2760245.7</v>
      </c>
      <c r="AA115" s="62"/>
      <c r="AB115" s="67">
        <f t="shared" si="73"/>
        <v>0</v>
      </c>
      <c r="AC115" s="67">
        <f t="shared" si="73"/>
        <v>0</v>
      </c>
      <c r="AD115" s="67">
        <f t="shared" si="73"/>
        <v>0</v>
      </c>
      <c r="AE115" s="67">
        <f t="shared" si="73"/>
        <v>0</v>
      </c>
      <c r="AF115" s="67">
        <f t="shared" si="73"/>
        <v>0</v>
      </c>
      <c r="AG115" s="67">
        <f t="shared" si="73"/>
        <v>0</v>
      </c>
      <c r="AH115" s="67">
        <f t="shared" si="74"/>
        <v>920081.9</v>
      </c>
      <c r="AI115" s="67">
        <f t="shared" si="82"/>
        <v>920081.9</v>
      </c>
      <c r="AJ115" s="67">
        <f t="shared" si="82"/>
        <v>920081.9</v>
      </c>
      <c r="AK115" s="67"/>
      <c r="AL115" s="67"/>
      <c r="AM115" s="67"/>
      <c r="AN115" s="67">
        <f t="shared" si="76"/>
        <v>2760245.7</v>
      </c>
    </row>
    <row r="116" spans="2:40" outlineLevel="2" x14ac:dyDescent="0.25">
      <c r="B116" s="63" t="s">
        <v>173</v>
      </c>
      <c r="C116" s="64">
        <v>891480085</v>
      </c>
      <c r="D116" s="65" t="s">
        <v>207</v>
      </c>
      <c r="E116" s="66">
        <v>4</v>
      </c>
      <c r="F116" s="66">
        <v>0</v>
      </c>
      <c r="G116" s="66">
        <v>0</v>
      </c>
      <c r="H116" s="66">
        <f t="shared" si="63"/>
        <v>0</v>
      </c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7105823</v>
      </c>
      <c r="O116" s="66">
        <v>0</v>
      </c>
      <c r="P116" s="66">
        <v>0</v>
      </c>
      <c r="Q116" s="67">
        <f t="shared" si="80"/>
        <v>7105823</v>
      </c>
      <c r="S116" s="68">
        <f t="shared" si="77"/>
        <v>0</v>
      </c>
      <c r="T116" s="67">
        <f t="shared" si="77"/>
        <v>0</v>
      </c>
      <c r="U116" s="67">
        <f t="shared" si="77"/>
        <v>0</v>
      </c>
      <c r="V116" s="67">
        <f t="shared" si="77"/>
        <v>0</v>
      </c>
      <c r="W116" s="67">
        <f t="shared" si="77"/>
        <v>0</v>
      </c>
      <c r="X116" s="67">
        <f t="shared" si="78"/>
        <v>0</v>
      </c>
      <c r="Y116" s="67">
        <f t="shared" si="79"/>
        <v>355291.15</v>
      </c>
      <c r="Z116" s="67">
        <f t="shared" si="72"/>
        <v>355291.15</v>
      </c>
      <c r="AA116" s="62"/>
      <c r="AB116" s="67">
        <f t="shared" si="73"/>
        <v>0</v>
      </c>
      <c r="AC116" s="67">
        <f t="shared" si="73"/>
        <v>0</v>
      </c>
      <c r="AD116" s="67">
        <f t="shared" si="73"/>
        <v>0</v>
      </c>
      <c r="AE116" s="67">
        <f t="shared" si="73"/>
        <v>0</v>
      </c>
      <c r="AF116" s="67">
        <f t="shared" si="73"/>
        <v>0</v>
      </c>
      <c r="AG116" s="67">
        <f t="shared" si="73"/>
        <v>0</v>
      </c>
      <c r="AH116" s="67">
        <f t="shared" si="74"/>
        <v>118430.38333333335</v>
      </c>
      <c r="AI116" s="67">
        <f t="shared" si="82"/>
        <v>118430.38333333335</v>
      </c>
      <c r="AJ116" s="67">
        <f t="shared" si="82"/>
        <v>118430.38333333335</v>
      </c>
      <c r="AK116" s="67"/>
      <c r="AL116" s="67"/>
      <c r="AM116" s="67"/>
      <c r="AN116" s="67">
        <f t="shared" si="76"/>
        <v>355291.15</v>
      </c>
    </row>
    <row r="117" spans="2:40" outlineLevel="2" x14ac:dyDescent="0.25">
      <c r="B117" s="63" t="s">
        <v>173</v>
      </c>
      <c r="C117" s="64">
        <v>891580016</v>
      </c>
      <c r="D117" s="65" t="s">
        <v>208</v>
      </c>
      <c r="E117" s="66">
        <v>19</v>
      </c>
      <c r="F117" s="66">
        <v>0</v>
      </c>
      <c r="G117" s="66">
        <v>0</v>
      </c>
      <c r="H117" s="66">
        <f t="shared" si="63"/>
        <v>0</v>
      </c>
      <c r="I117" s="66">
        <v>0</v>
      </c>
      <c r="J117" s="66">
        <v>0</v>
      </c>
      <c r="K117" s="66">
        <v>0</v>
      </c>
      <c r="L117" s="66">
        <v>0</v>
      </c>
      <c r="M117" s="66">
        <v>0</v>
      </c>
      <c r="N117" s="66">
        <v>42640641</v>
      </c>
      <c r="O117" s="66">
        <v>0</v>
      </c>
      <c r="P117" s="66">
        <v>0</v>
      </c>
      <c r="Q117" s="67">
        <f t="shared" si="80"/>
        <v>42640641</v>
      </c>
      <c r="S117" s="68">
        <f t="shared" si="77"/>
        <v>0</v>
      </c>
      <c r="T117" s="67">
        <f t="shared" si="77"/>
        <v>0</v>
      </c>
      <c r="U117" s="67">
        <f t="shared" si="77"/>
        <v>0</v>
      </c>
      <c r="V117" s="67">
        <f t="shared" si="77"/>
        <v>0</v>
      </c>
      <c r="W117" s="67">
        <f t="shared" si="77"/>
        <v>0</v>
      </c>
      <c r="X117" s="67">
        <f t="shared" si="78"/>
        <v>0</v>
      </c>
      <c r="Y117" s="67">
        <f t="shared" si="79"/>
        <v>2132032.0500000003</v>
      </c>
      <c r="Z117" s="67">
        <f t="shared" si="72"/>
        <v>2132032.0500000003</v>
      </c>
      <c r="AA117" s="62"/>
      <c r="AB117" s="67">
        <f t="shared" si="73"/>
        <v>0</v>
      </c>
      <c r="AC117" s="67">
        <f t="shared" si="73"/>
        <v>0</v>
      </c>
      <c r="AD117" s="67">
        <f t="shared" si="73"/>
        <v>0</v>
      </c>
      <c r="AE117" s="67">
        <f t="shared" si="73"/>
        <v>0</v>
      </c>
      <c r="AF117" s="67">
        <f t="shared" si="73"/>
        <v>0</v>
      </c>
      <c r="AG117" s="67">
        <f t="shared" si="73"/>
        <v>0</v>
      </c>
      <c r="AH117" s="67">
        <f t="shared" si="74"/>
        <v>710677.35000000009</v>
      </c>
      <c r="AI117" s="67">
        <f t="shared" si="82"/>
        <v>710677.35000000009</v>
      </c>
      <c r="AJ117" s="67">
        <f t="shared" si="82"/>
        <v>710677.35000000009</v>
      </c>
      <c r="AK117" s="67"/>
      <c r="AL117" s="67"/>
      <c r="AM117" s="67"/>
      <c r="AN117" s="67">
        <f t="shared" si="76"/>
        <v>2132032.0500000003</v>
      </c>
    </row>
    <row r="118" spans="2:40" outlineLevel="2" x14ac:dyDescent="0.25">
      <c r="B118" s="63" t="s">
        <v>173</v>
      </c>
      <c r="C118" s="64">
        <v>891680004</v>
      </c>
      <c r="D118" s="65" t="s">
        <v>209</v>
      </c>
      <c r="E118" s="66">
        <v>14</v>
      </c>
      <c r="F118" s="66">
        <v>0</v>
      </c>
      <c r="G118" s="66">
        <v>0</v>
      </c>
      <c r="H118" s="66">
        <f t="shared" si="63"/>
        <v>0</v>
      </c>
      <c r="I118" s="66">
        <v>0</v>
      </c>
      <c r="J118" s="66">
        <v>0</v>
      </c>
      <c r="K118" s="66">
        <v>0</v>
      </c>
      <c r="L118" s="66">
        <v>0</v>
      </c>
      <c r="M118" s="66">
        <v>0</v>
      </c>
      <c r="N118" s="66">
        <v>57790250</v>
      </c>
      <c r="O118" s="66">
        <v>0</v>
      </c>
      <c r="P118" s="66">
        <v>0</v>
      </c>
      <c r="Q118" s="67">
        <f t="shared" si="80"/>
        <v>57790250</v>
      </c>
      <c r="S118" s="68">
        <f t="shared" si="77"/>
        <v>0</v>
      </c>
      <c r="T118" s="67">
        <f t="shared" si="77"/>
        <v>0</v>
      </c>
      <c r="U118" s="67">
        <f t="shared" si="77"/>
        <v>0</v>
      </c>
      <c r="V118" s="67">
        <f t="shared" si="77"/>
        <v>0</v>
      </c>
      <c r="W118" s="67">
        <f t="shared" si="77"/>
        <v>0</v>
      </c>
      <c r="X118" s="67">
        <f t="shared" si="78"/>
        <v>0</v>
      </c>
      <c r="Y118" s="67">
        <f t="shared" si="79"/>
        <v>2889512.5</v>
      </c>
      <c r="Z118" s="67">
        <f t="shared" si="72"/>
        <v>2889512.5</v>
      </c>
      <c r="AA118" s="62"/>
      <c r="AB118" s="67">
        <f t="shared" si="73"/>
        <v>0</v>
      </c>
      <c r="AC118" s="67">
        <f t="shared" si="73"/>
        <v>0</v>
      </c>
      <c r="AD118" s="67">
        <f t="shared" si="73"/>
        <v>0</v>
      </c>
      <c r="AE118" s="67">
        <f t="shared" si="73"/>
        <v>0</v>
      </c>
      <c r="AF118" s="67">
        <f t="shared" si="73"/>
        <v>0</v>
      </c>
      <c r="AG118" s="67">
        <f t="shared" si="73"/>
        <v>0</v>
      </c>
      <c r="AH118" s="67">
        <f t="shared" si="74"/>
        <v>963170.83333333337</v>
      </c>
      <c r="AI118" s="67">
        <f t="shared" si="82"/>
        <v>963170.83333333337</v>
      </c>
      <c r="AJ118" s="67">
        <f t="shared" si="82"/>
        <v>963170.83333333337</v>
      </c>
      <c r="AK118" s="67"/>
      <c r="AL118" s="67"/>
      <c r="AM118" s="67"/>
      <c r="AN118" s="67">
        <f t="shared" si="76"/>
        <v>2889512.5</v>
      </c>
    </row>
    <row r="119" spans="2:40" outlineLevel="2" x14ac:dyDescent="0.25">
      <c r="B119" s="63" t="s">
        <v>173</v>
      </c>
      <c r="C119" s="64">
        <v>891780009</v>
      </c>
      <c r="D119" s="65" t="s">
        <v>210</v>
      </c>
      <c r="E119" s="66">
        <v>2</v>
      </c>
      <c r="F119" s="66">
        <v>0</v>
      </c>
      <c r="G119" s="66">
        <v>0</v>
      </c>
      <c r="H119" s="66">
        <f t="shared" si="63"/>
        <v>0</v>
      </c>
      <c r="I119" s="66">
        <v>0</v>
      </c>
      <c r="J119" s="66">
        <v>0</v>
      </c>
      <c r="K119" s="66">
        <v>0</v>
      </c>
      <c r="L119" s="66">
        <v>0</v>
      </c>
      <c r="M119" s="66">
        <v>0</v>
      </c>
      <c r="N119" s="66">
        <v>1371417</v>
      </c>
      <c r="O119" s="66">
        <v>0</v>
      </c>
      <c r="P119" s="66">
        <v>0</v>
      </c>
      <c r="Q119" s="67">
        <f t="shared" si="80"/>
        <v>1371417</v>
      </c>
      <c r="S119" s="68">
        <f t="shared" si="77"/>
        <v>0</v>
      </c>
      <c r="T119" s="67">
        <f t="shared" si="77"/>
        <v>0</v>
      </c>
      <c r="U119" s="67">
        <f t="shared" si="77"/>
        <v>0</v>
      </c>
      <c r="V119" s="67">
        <f t="shared" si="77"/>
        <v>0</v>
      </c>
      <c r="W119" s="67">
        <f t="shared" si="77"/>
        <v>0</v>
      </c>
      <c r="X119" s="67">
        <f t="shared" si="78"/>
        <v>0</v>
      </c>
      <c r="Y119" s="67">
        <f t="shared" si="79"/>
        <v>68570.850000000006</v>
      </c>
      <c r="Z119" s="67">
        <f t="shared" si="72"/>
        <v>68570.850000000006</v>
      </c>
      <c r="AA119" s="62"/>
      <c r="AB119" s="67">
        <f t="shared" si="73"/>
        <v>0</v>
      </c>
      <c r="AC119" s="67">
        <f t="shared" si="73"/>
        <v>0</v>
      </c>
      <c r="AD119" s="67">
        <f t="shared" si="73"/>
        <v>0</v>
      </c>
      <c r="AE119" s="67">
        <f t="shared" si="73"/>
        <v>0</v>
      </c>
      <c r="AF119" s="67">
        <f t="shared" si="73"/>
        <v>0</v>
      </c>
      <c r="AG119" s="67">
        <f t="shared" si="73"/>
        <v>0</v>
      </c>
      <c r="AH119" s="67">
        <f t="shared" si="74"/>
        <v>22856.95</v>
      </c>
      <c r="AI119" s="67">
        <f t="shared" si="82"/>
        <v>22856.95</v>
      </c>
      <c r="AJ119" s="67">
        <f t="shared" si="82"/>
        <v>22856.95</v>
      </c>
      <c r="AK119" s="67"/>
      <c r="AL119" s="67"/>
      <c r="AM119" s="67"/>
      <c r="AN119" s="67">
        <f t="shared" si="76"/>
        <v>68570.850000000006</v>
      </c>
    </row>
    <row r="120" spans="2:40" outlineLevel="2" x14ac:dyDescent="0.25">
      <c r="B120" s="63" t="s">
        <v>173</v>
      </c>
      <c r="C120" s="64">
        <v>891800498</v>
      </c>
      <c r="D120" s="65" t="s">
        <v>211</v>
      </c>
      <c r="E120" s="66">
        <v>59</v>
      </c>
      <c r="F120" s="66">
        <v>0</v>
      </c>
      <c r="G120" s="66">
        <v>0</v>
      </c>
      <c r="H120" s="66">
        <f t="shared" si="63"/>
        <v>0</v>
      </c>
      <c r="I120" s="66">
        <v>0</v>
      </c>
      <c r="J120" s="66">
        <v>0</v>
      </c>
      <c r="K120" s="66">
        <v>0</v>
      </c>
      <c r="L120" s="66">
        <v>0</v>
      </c>
      <c r="M120" s="66">
        <v>0</v>
      </c>
      <c r="N120" s="66">
        <v>83312733</v>
      </c>
      <c r="O120" s="66">
        <v>0</v>
      </c>
      <c r="P120" s="66">
        <v>-3192579</v>
      </c>
      <c r="Q120" s="67">
        <f t="shared" si="80"/>
        <v>80120154</v>
      </c>
      <c r="S120" s="68">
        <f t="shared" si="77"/>
        <v>0</v>
      </c>
      <c r="T120" s="67">
        <f t="shared" si="77"/>
        <v>0</v>
      </c>
      <c r="U120" s="67">
        <f t="shared" si="77"/>
        <v>0</v>
      </c>
      <c r="V120" s="67">
        <f t="shared" si="77"/>
        <v>0</v>
      </c>
      <c r="W120" s="67">
        <f t="shared" si="77"/>
        <v>0</v>
      </c>
      <c r="X120" s="67">
        <f t="shared" si="78"/>
        <v>0</v>
      </c>
      <c r="Y120" s="67">
        <f t="shared" si="79"/>
        <v>4006007.7</v>
      </c>
      <c r="Z120" s="67">
        <f t="shared" si="72"/>
        <v>4006007.7</v>
      </c>
      <c r="AA120" s="62"/>
      <c r="AB120" s="67">
        <f t="shared" si="73"/>
        <v>0</v>
      </c>
      <c r="AC120" s="67">
        <f t="shared" si="73"/>
        <v>0</v>
      </c>
      <c r="AD120" s="67">
        <f t="shared" si="73"/>
        <v>0</v>
      </c>
      <c r="AE120" s="67">
        <f t="shared" si="73"/>
        <v>0</v>
      </c>
      <c r="AF120" s="67">
        <f t="shared" si="73"/>
        <v>0</v>
      </c>
      <c r="AG120" s="67">
        <f t="shared" si="73"/>
        <v>0</v>
      </c>
      <c r="AH120" s="67">
        <f t="shared" si="74"/>
        <v>1335335.9000000001</v>
      </c>
      <c r="AI120" s="67">
        <f t="shared" si="82"/>
        <v>1335335.9000000001</v>
      </c>
      <c r="AJ120" s="67">
        <f t="shared" si="82"/>
        <v>1335335.9000000001</v>
      </c>
      <c r="AK120" s="67"/>
      <c r="AL120" s="67"/>
      <c r="AM120" s="67"/>
      <c r="AN120" s="67">
        <f t="shared" si="76"/>
        <v>4006007.7</v>
      </c>
    </row>
    <row r="121" spans="2:40" outlineLevel="2" x14ac:dyDescent="0.25">
      <c r="B121" s="63" t="s">
        <v>173</v>
      </c>
      <c r="C121" s="64">
        <v>891855502</v>
      </c>
      <c r="D121" s="65" t="s">
        <v>212</v>
      </c>
      <c r="E121" s="66">
        <v>12</v>
      </c>
      <c r="F121" s="66">
        <v>0</v>
      </c>
      <c r="G121" s="66">
        <v>0</v>
      </c>
      <c r="H121" s="66">
        <f t="shared" si="63"/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247001022.13</v>
      </c>
      <c r="O121" s="66">
        <v>0</v>
      </c>
      <c r="P121" s="66">
        <v>0</v>
      </c>
      <c r="Q121" s="67">
        <f t="shared" si="80"/>
        <v>247001022.13</v>
      </c>
      <c r="S121" s="68">
        <f t="shared" si="77"/>
        <v>0</v>
      </c>
      <c r="T121" s="67">
        <f t="shared" si="77"/>
        <v>0</v>
      </c>
      <c r="U121" s="67">
        <f t="shared" si="77"/>
        <v>0</v>
      </c>
      <c r="V121" s="67">
        <f t="shared" si="77"/>
        <v>0</v>
      </c>
      <c r="W121" s="67">
        <f t="shared" si="77"/>
        <v>0</v>
      </c>
      <c r="X121" s="67">
        <f t="shared" si="78"/>
        <v>0</v>
      </c>
      <c r="Y121" s="67">
        <f t="shared" si="79"/>
        <v>12350051.1065</v>
      </c>
      <c r="Z121" s="67">
        <f t="shared" si="72"/>
        <v>12350051.1065</v>
      </c>
      <c r="AA121" s="62"/>
      <c r="AB121" s="67">
        <f t="shared" si="73"/>
        <v>0</v>
      </c>
      <c r="AC121" s="67">
        <f t="shared" si="73"/>
        <v>0</v>
      </c>
      <c r="AD121" s="67">
        <f t="shared" si="73"/>
        <v>0</v>
      </c>
      <c r="AE121" s="67">
        <f t="shared" si="73"/>
        <v>0</v>
      </c>
      <c r="AF121" s="67">
        <f t="shared" si="73"/>
        <v>0</v>
      </c>
      <c r="AG121" s="67">
        <f t="shared" si="73"/>
        <v>0</v>
      </c>
      <c r="AH121" s="67">
        <f t="shared" si="74"/>
        <v>4116683.7021666667</v>
      </c>
      <c r="AI121" s="67">
        <f t="shared" si="82"/>
        <v>4116683.7021666667</v>
      </c>
      <c r="AJ121" s="67">
        <f t="shared" si="82"/>
        <v>4116683.7021666667</v>
      </c>
      <c r="AK121" s="67"/>
      <c r="AL121" s="67"/>
      <c r="AM121" s="67"/>
      <c r="AN121" s="67">
        <f t="shared" si="76"/>
        <v>12350051.1065</v>
      </c>
    </row>
    <row r="122" spans="2:40" outlineLevel="2" x14ac:dyDescent="0.25">
      <c r="B122" s="63" t="s">
        <v>173</v>
      </c>
      <c r="C122" s="64">
        <v>892000148</v>
      </c>
      <c r="D122" s="65" t="s">
        <v>213</v>
      </c>
      <c r="E122" s="66">
        <v>131</v>
      </c>
      <c r="F122" s="66">
        <v>0</v>
      </c>
      <c r="G122" s="66">
        <v>0</v>
      </c>
      <c r="H122" s="66">
        <f t="shared" si="63"/>
        <v>0</v>
      </c>
      <c r="I122" s="66">
        <v>0</v>
      </c>
      <c r="J122" s="66">
        <v>0</v>
      </c>
      <c r="K122" s="66">
        <v>0</v>
      </c>
      <c r="L122" s="66">
        <v>0</v>
      </c>
      <c r="M122" s="66">
        <v>0</v>
      </c>
      <c r="N122" s="66">
        <v>189069864</v>
      </c>
      <c r="O122" s="66">
        <v>0</v>
      </c>
      <c r="P122" s="66">
        <v>0</v>
      </c>
      <c r="Q122" s="67">
        <f t="shared" si="80"/>
        <v>189069864</v>
      </c>
      <c r="S122" s="68">
        <f t="shared" si="77"/>
        <v>0</v>
      </c>
      <c r="T122" s="67">
        <f t="shared" si="77"/>
        <v>0</v>
      </c>
      <c r="U122" s="67">
        <f t="shared" si="77"/>
        <v>0</v>
      </c>
      <c r="V122" s="67">
        <f t="shared" si="77"/>
        <v>0</v>
      </c>
      <c r="W122" s="67">
        <f t="shared" si="77"/>
        <v>0</v>
      </c>
      <c r="X122" s="67">
        <f t="shared" si="78"/>
        <v>0</v>
      </c>
      <c r="Y122" s="67">
        <f t="shared" si="79"/>
        <v>9453493.2000000011</v>
      </c>
      <c r="Z122" s="67">
        <f t="shared" si="72"/>
        <v>9453493.2000000011</v>
      </c>
      <c r="AA122" s="62"/>
      <c r="AB122" s="67">
        <f t="shared" si="73"/>
        <v>0</v>
      </c>
      <c r="AC122" s="67">
        <f t="shared" si="73"/>
        <v>0</v>
      </c>
      <c r="AD122" s="67">
        <f t="shared" si="73"/>
        <v>0</v>
      </c>
      <c r="AE122" s="67">
        <f t="shared" si="73"/>
        <v>0</v>
      </c>
      <c r="AF122" s="67">
        <f t="shared" si="73"/>
        <v>0</v>
      </c>
      <c r="AG122" s="67">
        <f t="shared" si="73"/>
        <v>0</v>
      </c>
      <c r="AH122" s="67">
        <f t="shared" si="74"/>
        <v>3151164.4000000004</v>
      </c>
      <c r="AI122" s="67">
        <f t="shared" si="82"/>
        <v>3151164.4000000004</v>
      </c>
      <c r="AJ122" s="67">
        <f t="shared" si="82"/>
        <v>3151164.4000000004</v>
      </c>
      <c r="AK122" s="67"/>
      <c r="AL122" s="67"/>
      <c r="AM122" s="67"/>
      <c r="AN122" s="67">
        <f t="shared" si="76"/>
        <v>9453493.2000000011</v>
      </c>
    </row>
    <row r="123" spans="2:40" outlineLevel="2" x14ac:dyDescent="0.25">
      <c r="B123" s="63" t="s">
        <v>173</v>
      </c>
      <c r="C123" s="64">
        <v>892001476</v>
      </c>
      <c r="D123" s="65" t="s">
        <v>214</v>
      </c>
      <c r="E123" s="66">
        <v>15</v>
      </c>
      <c r="F123" s="66">
        <v>0</v>
      </c>
      <c r="G123" s="66">
        <v>0</v>
      </c>
      <c r="H123" s="66">
        <f t="shared" si="63"/>
        <v>0</v>
      </c>
      <c r="I123" s="66">
        <v>0</v>
      </c>
      <c r="J123" s="66">
        <v>0</v>
      </c>
      <c r="K123" s="66">
        <v>0</v>
      </c>
      <c r="L123" s="66">
        <v>0</v>
      </c>
      <c r="M123" s="66">
        <v>0</v>
      </c>
      <c r="N123" s="66">
        <v>52190556</v>
      </c>
      <c r="O123" s="66">
        <v>0</v>
      </c>
      <c r="P123" s="66">
        <v>0</v>
      </c>
      <c r="Q123" s="67">
        <f t="shared" si="80"/>
        <v>52190556</v>
      </c>
      <c r="S123" s="68">
        <f t="shared" si="77"/>
        <v>0</v>
      </c>
      <c r="T123" s="67">
        <f t="shared" si="77"/>
        <v>0</v>
      </c>
      <c r="U123" s="67">
        <f t="shared" si="77"/>
        <v>0</v>
      </c>
      <c r="V123" s="67">
        <f t="shared" si="77"/>
        <v>0</v>
      </c>
      <c r="W123" s="67">
        <f t="shared" si="77"/>
        <v>0</v>
      </c>
      <c r="X123" s="67">
        <f t="shared" si="78"/>
        <v>0</v>
      </c>
      <c r="Y123" s="67">
        <f t="shared" si="79"/>
        <v>2609527.8000000003</v>
      </c>
      <c r="Z123" s="67">
        <f t="shared" si="72"/>
        <v>2609527.8000000003</v>
      </c>
      <c r="AA123" s="62"/>
      <c r="AB123" s="67">
        <f t="shared" si="73"/>
        <v>0</v>
      </c>
      <c r="AC123" s="67">
        <f t="shared" si="73"/>
        <v>0</v>
      </c>
      <c r="AD123" s="67">
        <f t="shared" si="73"/>
        <v>0</v>
      </c>
      <c r="AE123" s="67">
        <f t="shared" si="73"/>
        <v>0</v>
      </c>
      <c r="AF123" s="67">
        <f t="shared" si="73"/>
        <v>0</v>
      </c>
      <c r="AG123" s="67">
        <f t="shared" si="73"/>
        <v>0</v>
      </c>
      <c r="AH123" s="67">
        <f t="shared" si="74"/>
        <v>869842.60000000009</v>
      </c>
      <c r="AI123" s="67">
        <f t="shared" si="82"/>
        <v>869842.60000000009</v>
      </c>
      <c r="AJ123" s="67">
        <f t="shared" si="82"/>
        <v>869842.60000000009</v>
      </c>
      <c r="AK123" s="67"/>
      <c r="AL123" s="67"/>
      <c r="AM123" s="67"/>
      <c r="AN123" s="67">
        <f t="shared" si="76"/>
        <v>2609527.8000000003</v>
      </c>
    </row>
    <row r="124" spans="2:40" outlineLevel="2" x14ac:dyDescent="0.25">
      <c r="B124" s="63" t="s">
        <v>173</v>
      </c>
      <c r="C124" s="64">
        <v>892099120</v>
      </c>
      <c r="D124" s="65" t="s">
        <v>215</v>
      </c>
      <c r="E124" s="66">
        <v>7</v>
      </c>
      <c r="F124" s="66">
        <v>0</v>
      </c>
      <c r="G124" s="66">
        <v>0</v>
      </c>
      <c r="H124" s="66">
        <f t="shared" si="63"/>
        <v>0</v>
      </c>
      <c r="I124" s="66">
        <v>0</v>
      </c>
      <c r="J124" s="66">
        <v>0</v>
      </c>
      <c r="K124" s="66">
        <v>0</v>
      </c>
      <c r="L124" s="66">
        <v>0</v>
      </c>
      <c r="M124" s="66">
        <v>0</v>
      </c>
      <c r="N124" s="66">
        <v>2320504</v>
      </c>
      <c r="O124" s="66">
        <v>0</v>
      </c>
      <c r="P124" s="66">
        <v>0</v>
      </c>
      <c r="Q124" s="67">
        <f t="shared" si="80"/>
        <v>2320504</v>
      </c>
      <c r="S124" s="68">
        <f t="shared" si="77"/>
        <v>0</v>
      </c>
      <c r="T124" s="67">
        <f t="shared" si="77"/>
        <v>0</v>
      </c>
      <c r="U124" s="67">
        <f t="shared" si="77"/>
        <v>0</v>
      </c>
      <c r="V124" s="67">
        <f t="shared" si="77"/>
        <v>0</v>
      </c>
      <c r="W124" s="67">
        <f t="shared" si="77"/>
        <v>0</v>
      </c>
      <c r="X124" s="67">
        <f t="shared" si="78"/>
        <v>0</v>
      </c>
      <c r="Y124" s="67">
        <f t="shared" si="79"/>
        <v>116025.20000000001</v>
      </c>
      <c r="Z124" s="67">
        <f t="shared" si="72"/>
        <v>116025.20000000001</v>
      </c>
      <c r="AA124" s="62"/>
      <c r="AB124" s="67">
        <f t="shared" si="73"/>
        <v>0</v>
      </c>
      <c r="AC124" s="67">
        <f t="shared" si="73"/>
        <v>0</v>
      </c>
      <c r="AD124" s="67">
        <f t="shared" si="73"/>
        <v>0</v>
      </c>
      <c r="AE124" s="67">
        <f t="shared" ref="AE124:AG132" si="83">+V124</f>
        <v>0</v>
      </c>
      <c r="AF124" s="67">
        <f t="shared" si="83"/>
        <v>0</v>
      </c>
      <c r="AG124" s="67">
        <f t="shared" si="83"/>
        <v>0</v>
      </c>
      <c r="AH124" s="67">
        <f t="shared" si="74"/>
        <v>38675.066666666673</v>
      </c>
      <c r="AI124" s="67">
        <f t="shared" si="82"/>
        <v>38675.066666666673</v>
      </c>
      <c r="AJ124" s="67">
        <f t="shared" si="82"/>
        <v>38675.066666666673</v>
      </c>
      <c r="AK124" s="67"/>
      <c r="AL124" s="67"/>
      <c r="AM124" s="67"/>
      <c r="AN124" s="67">
        <f t="shared" si="76"/>
        <v>116025.20000000001</v>
      </c>
    </row>
    <row r="125" spans="2:40" outlineLevel="2" x14ac:dyDescent="0.25">
      <c r="B125" s="63" t="s">
        <v>173</v>
      </c>
      <c r="C125" s="64">
        <v>892099216</v>
      </c>
      <c r="D125" s="65" t="s">
        <v>216</v>
      </c>
      <c r="E125" s="66">
        <v>2</v>
      </c>
      <c r="F125" s="66">
        <v>0</v>
      </c>
      <c r="G125" s="66">
        <v>0</v>
      </c>
      <c r="H125" s="66">
        <f t="shared" si="63"/>
        <v>0</v>
      </c>
      <c r="I125" s="66">
        <v>0</v>
      </c>
      <c r="J125" s="66">
        <v>5610703</v>
      </c>
      <c r="K125" s="66">
        <v>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67">
        <f t="shared" si="80"/>
        <v>5610703</v>
      </c>
      <c r="S125" s="68">
        <f t="shared" si="77"/>
        <v>0</v>
      </c>
      <c r="T125" s="67">
        <f t="shared" si="77"/>
        <v>0</v>
      </c>
      <c r="U125" s="67">
        <f t="shared" si="77"/>
        <v>1683210.9</v>
      </c>
      <c r="V125" s="67">
        <f t="shared" si="77"/>
        <v>0</v>
      </c>
      <c r="W125" s="67">
        <f t="shared" si="77"/>
        <v>0</v>
      </c>
      <c r="X125" s="67">
        <f t="shared" si="78"/>
        <v>0</v>
      </c>
      <c r="Y125" s="67">
        <f t="shared" si="79"/>
        <v>196374.60500000001</v>
      </c>
      <c r="Z125" s="67">
        <f t="shared" si="72"/>
        <v>1879585.5049999999</v>
      </c>
      <c r="AA125" s="62"/>
      <c r="AB125" s="67">
        <f t="shared" ref="AB125:AD132" si="84">+S125</f>
        <v>0</v>
      </c>
      <c r="AC125" s="67">
        <f t="shared" si="84"/>
        <v>0</v>
      </c>
      <c r="AD125" s="67">
        <f t="shared" si="84"/>
        <v>1683210.9</v>
      </c>
      <c r="AE125" s="67">
        <f t="shared" si="83"/>
        <v>0</v>
      </c>
      <c r="AF125" s="67">
        <f t="shared" si="83"/>
        <v>0</v>
      </c>
      <c r="AG125" s="67">
        <f t="shared" si="83"/>
        <v>0</v>
      </c>
      <c r="AH125" s="67">
        <f t="shared" si="74"/>
        <v>65458.201666666668</v>
      </c>
      <c r="AI125" s="67">
        <f t="shared" si="82"/>
        <v>65458.201666666668</v>
      </c>
      <c r="AJ125" s="67">
        <f t="shared" si="82"/>
        <v>65458.201666666668</v>
      </c>
      <c r="AK125" s="67"/>
      <c r="AL125" s="67"/>
      <c r="AM125" s="67"/>
      <c r="AN125" s="67">
        <f t="shared" si="76"/>
        <v>1879585.5049999999</v>
      </c>
    </row>
    <row r="126" spans="2:40" outlineLevel="2" x14ac:dyDescent="0.25">
      <c r="B126" s="63" t="s">
        <v>173</v>
      </c>
      <c r="C126" s="64">
        <v>892115003</v>
      </c>
      <c r="D126" s="65" t="s">
        <v>217</v>
      </c>
      <c r="E126" s="66">
        <v>53</v>
      </c>
      <c r="F126" s="66">
        <v>0</v>
      </c>
      <c r="G126" s="66">
        <v>0</v>
      </c>
      <c r="H126" s="66">
        <f t="shared" si="63"/>
        <v>0</v>
      </c>
      <c r="I126" s="66">
        <v>0</v>
      </c>
      <c r="J126" s="66">
        <v>0</v>
      </c>
      <c r="K126" s="66">
        <v>0</v>
      </c>
      <c r="L126" s="66">
        <v>0</v>
      </c>
      <c r="M126" s="66">
        <v>0</v>
      </c>
      <c r="N126" s="66">
        <v>162904712</v>
      </c>
      <c r="O126" s="66">
        <v>0</v>
      </c>
      <c r="P126" s="66">
        <v>0</v>
      </c>
      <c r="Q126" s="67">
        <f t="shared" si="80"/>
        <v>162904712</v>
      </c>
      <c r="S126" s="68">
        <f t="shared" si="77"/>
        <v>0</v>
      </c>
      <c r="T126" s="67">
        <f t="shared" si="77"/>
        <v>0</v>
      </c>
      <c r="U126" s="67">
        <f t="shared" si="77"/>
        <v>0</v>
      </c>
      <c r="V126" s="67">
        <f t="shared" si="77"/>
        <v>0</v>
      </c>
      <c r="W126" s="67">
        <f t="shared" si="77"/>
        <v>0</v>
      </c>
      <c r="X126" s="67">
        <f t="shared" si="78"/>
        <v>0</v>
      </c>
      <c r="Y126" s="67">
        <f t="shared" si="79"/>
        <v>8145235.6000000006</v>
      </c>
      <c r="Z126" s="67">
        <f t="shared" si="72"/>
        <v>8145235.6000000006</v>
      </c>
      <c r="AA126" s="62"/>
      <c r="AB126" s="67">
        <f t="shared" si="84"/>
        <v>0</v>
      </c>
      <c r="AC126" s="67">
        <f t="shared" si="84"/>
        <v>0</v>
      </c>
      <c r="AD126" s="67">
        <f t="shared" si="84"/>
        <v>0</v>
      </c>
      <c r="AE126" s="67">
        <f t="shared" si="83"/>
        <v>0</v>
      </c>
      <c r="AF126" s="67">
        <f t="shared" si="83"/>
        <v>0</v>
      </c>
      <c r="AG126" s="67">
        <f t="shared" si="83"/>
        <v>0</v>
      </c>
      <c r="AH126" s="67">
        <f t="shared" si="74"/>
        <v>2715078.5333333337</v>
      </c>
      <c r="AI126" s="67">
        <f t="shared" si="82"/>
        <v>2715078.5333333337</v>
      </c>
      <c r="AJ126" s="67">
        <f t="shared" si="82"/>
        <v>2715078.5333333337</v>
      </c>
      <c r="AK126" s="67"/>
      <c r="AL126" s="67"/>
      <c r="AM126" s="67"/>
      <c r="AN126" s="67">
        <f t="shared" si="76"/>
        <v>8145235.6000000015</v>
      </c>
    </row>
    <row r="127" spans="2:40" outlineLevel="2" x14ac:dyDescent="0.25">
      <c r="B127" s="63" t="s">
        <v>173</v>
      </c>
      <c r="C127" s="64">
        <v>892280016</v>
      </c>
      <c r="D127" s="65" t="s">
        <v>218</v>
      </c>
      <c r="E127" s="66">
        <v>35</v>
      </c>
      <c r="F127" s="66">
        <v>0</v>
      </c>
      <c r="G127" s="66">
        <v>0</v>
      </c>
      <c r="H127" s="66">
        <f t="shared" si="63"/>
        <v>0</v>
      </c>
      <c r="I127" s="66">
        <v>0</v>
      </c>
      <c r="J127" s="66">
        <v>0</v>
      </c>
      <c r="K127" s="66">
        <v>0</v>
      </c>
      <c r="L127" s="66">
        <v>0</v>
      </c>
      <c r="M127" s="66">
        <v>0</v>
      </c>
      <c r="N127" s="66">
        <v>9045451</v>
      </c>
      <c r="O127" s="66">
        <v>0</v>
      </c>
      <c r="P127" s="66">
        <v>0</v>
      </c>
      <c r="Q127" s="67">
        <f t="shared" si="80"/>
        <v>9045451</v>
      </c>
      <c r="S127" s="68">
        <f t="shared" si="77"/>
        <v>0</v>
      </c>
      <c r="T127" s="67">
        <f t="shared" si="77"/>
        <v>0</v>
      </c>
      <c r="U127" s="67">
        <f t="shared" si="77"/>
        <v>0</v>
      </c>
      <c r="V127" s="67">
        <f t="shared" si="77"/>
        <v>0</v>
      </c>
      <c r="W127" s="67">
        <f t="shared" si="77"/>
        <v>0</v>
      </c>
      <c r="X127" s="67">
        <f t="shared" si="78"/>
        <v>0</v>
      </c>
      <c r="Y127" s="67">
        <f t="shared" si="79"/>
        <v>452272.55000000005</v>
      </c>
      <c r="Z127" s="67">
        <f t="shared" si="72"/>
        <v>452272.55000000005</v>
      </c>
      <c r="AA127" s="62"/>
      <c r="AB127" s="67">
        <f t="shared" si="84"/>
        <v>0</v>
      </c>
      <c r="AC127" s="67">
        <f t="shared" si="84"/>
        <v>0</v>
      </c>
      <c r="AD127" s="67">
        <f t="shared" si="84"/>
        <v>0</v>
      </c>
      <c r="AE127" s="67">
        <f t="shared" si="83"/>
        <v>0</v>
      </c>
      <c r="AF127" s="67">
        <f t="shared" si="83"/>
        <v>0</v>
      </c>
      <c r="AG127" s="67">
        <f t="shared" si="83"/>
        <v>0</v>
      </c>
      <c r="AH127" s="67">
        <f t="shared" si="74"/>
        <v>150757.51666666669</v>
      </c>
      <c r="AI127" s="67">
        <f t="shared" si="82"/>
        <v>150757.51666666669</v>
      </c>
      <c r="AJ127" s="67">
        <f t="shared" si="82"/>
        <v>150757.51666666669</v>
      </c>
      <c r="AK127" s="67"/>
      <c r="AL127" s="67"/>
      <c r="AM127" s="67"/>
      <c r="AN127" s="67">
        <f t="shared" si="76"/>
        <v>452272.55000000005</v>
      </c>
    </row>
    <row r="128" spans="2:40" outlineLevel="2" x14ac:dyDescent="0.25">
      <c r="B128" s="63" t="s">
        <v>173</v>
      </c>
      <c r="C128" s="64">
        <v>892280021</v>
      </c>
      <c r="D128" s="65" t="s">
        <v>219</v>
      </c>
      <c r="E128" s="66">
        <v>52</v>
      </c>
      <c r="F128" s="66">
        <v>0</v>
      </c>
      <c r="G128" s="66">
        <v>0</v>
      </c>
      <c r="H128" s="66">
        <f t="shared" si="63"/>
        <v>0</v>
      </c>
      <c r="I128" s="66">
        <v>0</v>
      </c>
      <c r="J128" s="66">
        <v>0</v>
      </c>
      <c r="K128" s="66">
        <v>0</v>
      </c>
      <c r="L128" s="66">
        <v>0</v>
      </c>
      <c r="M128" s="66">
        <v>0</v>
      </c>
      <c r="N128" s="66">
        <v>37031642</v>
      </c>
      <c r="O128" s="66">
        <v>0</v>
      </c>
      <c r="P128" s="66">
        <v>0</v>
      </c>
      <c r="Q128" s="67">
        <f t="shared" si="80"/>
        <v>37031642</v>
      </c>
      <c r="S128" s="68">
        <f t="shared" si="77"/>
        <v>0</v>
      </c>
      <c r="T128" s="67">
        <f t="shared" si="77"/>
        <v>0</v>
      </c>
      <c r="U128" s="67">
        <f t="shared" si="77"/>
        <v>0</v>
      </c>
      <c r="V128" s="67">
        <f t="shared" si="77"/>
        <v>0</v>
      </c>
      <c r="W128" s="67">
        <f t="shared" si="77"/>
        <v>0</v>
      </c>
      <c r="X128" s="67">
        <f t="shared" si="78"/>
        <v>0</v>
      </c>
      <c r="Y128" s="67">
        <f t="shared" si="79"/>
        <v>1851582.1</v>
      </c>
      <c r="Z128" s="67">
        <f t="shared" si="72"/>
        <v>1851582.1</v>
      </c>
      <c r="AA128" s="62"/>
      <c r="AB128" s="67">
        <f t="shared" si="84"/>
        <v>0</v>
      </c>
      <c r="AC128" s="67">
        <f t="shared" si="84"/>
        <v>0</v>
      </c>
      <c r="AD128" s="67">
        <f t="shared" si="84"/>
        <v>0</v>
      </c>
      <c r="AE128" s="67">
        <f t="shared" si="83"/>
        <v>0</v>
      </c>
      <c r="AF128" s="67">
        <f t="shared" si="83"/>
        <v>0</v>
      </c>
      <c r="AG128" s="67">
        <f t="shared" si="83"/>
        <v>0</v>
      </c>
      <c r="AH128" s="67">
        <f t="shared" si="74"/>
        <v>617194.03333333333</v>
      </c>
      <c r="AI128" s="67">
        <f t="shared" si="82"/>
        <v>617194.03333333333</v>
      </c>
      <c r="AJ128" s="67">
        <f t="shared" si="82"/>
        <v>617194.03333333333</v>
      </c>
      <c r="AK128" s="67"/>
      <c r="AL128" s="67"/>
      <c r="AM128" s="67"/>
      <c r="AN128" s="67">
        <f t="shared" si="76"/>
        <v>1851582.1</v>
      </c>
    </row>
    <row r="129" spans="2:40" outlineLevel="2" x14ac:dyDescent="0.25">
      <c r="B129" s="63" t="s">
        <v>173</v>
      </c>
      <c r="C129" s="64">
        <v>892399999</v>
      </c>
      <c r="D129" s="65" t="s">
        <v>220</v>
      </c>
      <c r="E129" s="66">
        <v>38</v>
      </c>
      <c r="F129" s="66">
        <v>0</v>
      </c>
      <c r="G129" s="66">
        <v>0</v>
      </c>
      <c r="H129" s="66">
        <f t="shared" si="63"/>
        <v>0</v>
      </c>
      <c r="I129" s="66">
        <v>0</v>
      </c>
      <c r="J129" s="66">
        <v>0</v>
      </c>
      <c r="K129" s="66">
        <v>0</v>
      </c>
      <c r="L129" s="66">
        <v>0</v>
      </c>
      <c r="M129" s="66">
        <v>1684982</v>
      </c>
      <c r="N129" s="66">
        <v>89738285</v>
      </c>
      <c r="O129" s="66">
        <v>0</v>
      </c>
      <c r="P129" s="66">
        <v>0</v>
      </c>
      <c r="Q129" s="67">
        <f t="shared" si="80"/>
        <v>91423267</v>
      </c>
      <c r="S129" s="68">
        <f t="shared" si="77"/>
        <v>0</v>
      </c>
      <c r="T129" s="67">
        <f t="shared" si="77"/>
        <v>0</v>
      </c>
      <c r="U129" s="67">
        <f t="shared" si="77"/>
        <v>0</v>
      </c>
      <c r="V129" s="67">
        <f t="shared" si="77"/>
        <v>0</v>
      </c>
      <c r="W129" s="67">
        <f t="shared" si="77"/>
        <v>0</v>
      </c>
      <c r="X129" s="67">
        <f t="shared" si="78"/>
        <v>673992.8</v>
      </c>
      <c r="Y129" s="67">
        <f t="shared" si="79"/>
        <v>4537463.71</v>
      </c>
      <c r="Z129" s="67">
        <f t="shared" si="72"/>
        <v>5211456.51</v>
      </c>
      <c r="AA129" s="62"/>
      <c r="AB129" s="67">
        <f t="shared" si="84"/>
        <v>0</v>
      </c>
      <c r="AC129" s="67">
        <f t="shared" si="84"/>
        <v>0</v>
      </c>
      <c r="AD129" s="67">
        <f t="shared" si="84"/>
        <v>0</v>
      </c>
      <c r="AE129" s="67">
        <f t="shared" si="83"/>
        <v>0</v>
      </c>
      <c r="AF129" s="67">
        <f t="shared" si="83"/>
        <v>0</v>
      </c>
      <c r="AG129" s="67">
        <f t="shared" si="83"/>
        <v>673992.8</v>
      </c>
      <c r="AH129" s="67">
        <f t="shared" si="74"/>
        <v>1512487.9033333333</v>
      </c>
      <c r="AI129" s="67">
        <f t="shared" si="82"/>
        <v>1512487.9033333333</v>
      </c>
      <c r="AJ129" s="67">
        <f t="shared" si="82"/>
        <v>1512487.9033333333</v>
      </c>
      <c r="AK129" s="67"/>
      <c r="AL129" s="67"/>
      <c r="AM129" s="67"/>
      <c r="AN129" s="67">
        <f t="shared" si="76"/>
        <v>5211456.51</v>
      </c>
    </row>
    <row r="130" spans="2:40" outlineLevel="2" x14ac:dyDescent="0.25">
      <c r="B130" s="63" t="s">
        <v>173</v>
      </c>
      <c r="C130" s="64">
        <v>899999114</v>
      </c>
      <c r="D130" s="65" t="s">
        <v>221</v>
      </c>
      <c r="E130" s="66">
        <v>228</v>
      </c>
      <c r="F130" s="66">
        <v>0</v>
      </c>
      <c r="G130" s="66">
        <v>0</v>
      </c>
      <c r="H130" s="66">
        <f t="shared" si="63"/>
        <v>0</v>
      </c>
      <c r="I130" s="66">
        <v>0</v>
      </c>
      <c r="J130" s="66">
        <v>0</v>
      </c>
      <c r="K130" s="66">
        <v>0</v>
      </c>
      <c r="L130" s="66">
        <v>0</v>
      </c>
      <c r="M130" s="66">
        <v>28285774</v>
      </c>
      <c r="N130" s="66">
        <v>627090787.03999996</v>
      </c>
      <c r="O130" s="66">
        <v>0</v>
      </c>
      <c r="P130" s="66">
        <v>-1458314</v>
      </c>
      <c r="Q130" s="67">
        <f t="shared" si="80"/>
        <v>653918247.03999996</v>
      </c>
      <c r="S130" s="68">
        <f t="shared" si="77"/>
        <v>0</v>
      </c>
      <c r="T130" s="67">
        <f t="shared" si="77"/>
        <v>0</v>
      </c>
      <c r="U130" s="67">
        <f t="shared" si="77"/>
        <v>0</v>
      </c>
      <c r="V130" s="67">
        <f t="shared" si="77"/>
        <v>0</v>
      </c>
      <c r="W130" s="67">
        <f t="shared" si="77"/>
        <v>0</v>
      </c>
      <c r="X130" s="67">
        <f t="shared" si="78"/>
        <v>11314309.600000001</v>
      </c>
      <c r="Y130" s="67">
        <f t="shared" si="79"/>
        <v>32130196.871999998</v>
      </c>
      <c r="Z130" s="67">
        <f t="shared" si="72"/>
        <v>43444506.472000003</v>
      </c>
      <c r="AA130" s="62"/>
      <c r="AB130" s="67">
        <f t="shared" si="84"/>
        <v>0</v>
      </c>
      <c r="AC130" s="67">
        <f t="shared" si="84"/>
        <v>0</v>
      </c>
      <c r="AD130" s="67">
        <f t="shared" si="84"/>
        <v>0</v>
      </c>
      <c r="AE130" s="67">
        <f t="shared" si="83"/>
        <v>0</v>
      </c>
      <c r="AF130" s="67">
        <f t="shared" si="83"/>
        <v>0</v>
      </c>
      <c r="AG130" s="67">
        <f t="shared" si="83"/>
        <v>11314309.600000001</v>
      </c>
      <c r="AH130" s="67">
        <f t="shared" si="74"/>
        <v>10710065.624</v>
      </c>
      <c r="AI130" s="67">
        <f t="shared" ref="AI130:AJ132" si="85">+AH130</f>
        <v>10710065.624</v>
      </c>
      <c r="AJ130" s="67">
        <f t="shared" si="85"/>
        <v>10710065.624</v>
      </c>
      <c r="AK130" s="67"/>
      <c r="AL130" s="67"/>
      <c r="AM130" s="67"/>
      <c r="AN130" s="67">
        <f t="shared" si="76"/>
        <v>43444506.471999995</v>
      </c>
    </row>
    <row r="131" spans="2:40" outlineLevel="2" x14ac:dyDescent="0.25">
      <c r="B131" s="63" t="s">
        <v>173</v>
      </c>
      <c r="C131" s="64">
        <v>899999336</v>
      </c>
      <c r="D131" s="65" t="s">
        <v>222</v>
      </c>
      <c r="E131" s="66">
        <v>118</v>
      </c>
      <c r="F131" s="66">
        <v>0</v>
      </c>
      <c r="G131" s="66">
        <v>0</v>
      </c>
      <c r="H131" s="66">
        <f t="shared" si="63"/>
        <v>0</v>
      </c>
      <c r="I131" s="66">
        <v>0</v>
      </c>
      <c r="J131" s="66">
        <v>0</v>
      </c>
      <c r="K131" s="66">
        <v>0</v>
      </c>
      <c r="L131" s="66">
        <v>0</v>
      </c>
      <c r="M131" s="66">
        <v>0</v>
      </c>
      <c r="N131" s="66">
        <v>252842260.22</v>
      </c>
      <c r="O131" s="66">
        <v>0</v>
      </c>
      <c r="P131" s="66">
        <v>0</v>
      </c>
      <c r="Q131" s="67">
        <f t="shared" si="80"/>
        <v>252842260.22</v>
      </c>
      <c r="S131" s="68">
        <f t="shared" si="77"/>
        <v>0</v>
      </c>
      <c r="T131" s="67">
        <f t="shared" si="77"/>
        <v>0</v>
      </c>
      <c r="U131" s="67">
        <f t="shared" si="77"/>
        <v>0</v>
      </c>
      <c r="V131" s="67">
        <f t="shared" si="77"/>
        <v>0</v>
      </c>
      <c r="W131" s="67">
        <f t="shared" si="77"/>
        <v>0</v>
      </c>
      <c r="X131" s="67">
        <f t="shared" si="78"/>
        <v>0</v>
      </c>
      <c r="Y131" s="67">
        <f t="shared" si="79"/>
        <v>12642113.011</v>
      </c>
      <c r="Z131" s="67">
        <f t="shared" si="72"/>
        <v>12642113.011</v>
      </c>
      <c r="AA131" s="62"/>
      <c r="AB131" s="67">
        <f t="shared" si="84"/>
        <v>0</v>
      </c>
      <c r="AC131" s="67">
        <f t="shared" si="84"/>
        <v>0</v>
      </c>
      <c r="AD131" s="67">
        <f t="shared" si="84"/>
        <v>0</v>
      </c>
      <c r="AE131" s="67">
        <f t="shared" si="83"/>
        <v>0</v>
      </c>
      <c r="AF131" s="67">
        <f t="shared" si="83"/>
        <v>0</v>
      </c>
      <c r="AG131" s="67">
        <f t="shared" si="83"/>
        <v>0</v>
      </c>
      <c r="AH131" s="67">
        <f t="shared" si="74"/>
        <v>4214037.6703333333</v>
      </c>
      <c r="AI131" s="67">
        <f t="shared" si="85"/>
        <v>4214037.6703333333</v>
      </c>
      <c r="AJ131" s="67">
        <f t="shared" si="85"/>
        <v>4214037.6703333333</v>
      </c>
      <c r="AK131" s="67"/>
      <c r="AL131" s="67"/>
      <c r="AM131" s="67"/>
      <c r="AN131" s="67">
        <f t="shared" si="76"/>
        <v>12642113.011</v>
      </c>
    </row>
    <row r="132" spans="2:40" ht="12" outlineLevel="2" thickBot="1" x14ac:dyDescent="0.3">
      <c r="B132" s="63" t="s">
        <v>173</v>
      </c>
      <c r="C132" s="64">
        <v>900034608</v>
      </c>
      <c r="D132" s="65" t="s">
        <v>223</v>
      </c>
      <c r="E132" s="66">
        <v>26</v>
      </c>
      <c r="F132" s="66">
        <v>0</v>
      </c>
      <c r="G132" s="66">
        <v>0</v>
      </c>
      <c r="H132" s="66">
        <f t="shared" si="63"/>
        <v>0</v>
      </c>
      <c r="I132" s="66">
        <v>0</v>
      </c>
      <c r="J132" s="66">
        <v>0</v>
      </c>
      <c r="K132" s="66">
        <v>0</v>
      </c>
      <c r="L132" s="66">
        <v>0</v>
      </c>
      <c r="M132" s="66">
        <v>0</v>
      </c>
      <c r="N132" s="66">
        <v>386236325.48000002</v>
      </c>
      <c r="O132" s="66">
        <v>0</v>
      </c>
      <c r="P132" s="66">
        <v>0</v>
      </c>
      <c r="Q132" s="67">
        <f t="shared" si="80"/>
        <v>386236325.48000002</v>
      </c>
      <c r="S132" s="68">
        <f t="shared" si="77"/>
        <v>0</v>
      </c>
      <c r="T132" s="67">
        <f t="shared" si="77"/>
        <v>0</v>
      </c>
      <c r="U132" s="67">
        <f t="shared" si="77"/>
        <v>0</v>
      </c>
      <c r="V132" s="67">
        <f t="shared" si="77"/>
        <v>0</v>
      </c>
      <c r="W132" s="67">
        <f t="shared" si="77"/>
        <v>0</v>
      </c>
      <c r="X132" s="67">
        <f t="shared" si="78"/>
        <v>0</v>
      </c>
      <c r="Y132" s="67">
        <f t="shared" si="79"/>
        <v>19311816.274</v>
      </c>
      <c r="Z132" s="67">
        <f t="shared" si="72"/>
        <v>19311816.274</v>
      </c>
      <c r="AA132" s="62"/>
      <c r="AB132" s="67">
        <f t="shared" si="84"/>
        <v>0</v>
      </c>
      <c r="AC132" s="67">
        <f t="shared" si="84"/>
        <v>0</v>
      </c>
      <c r="AD132" s="67">
        <f t="shared" si="84"/>
        <v>0</v>
      </c>
      <c r="AE132" s="67">
        <f t="shared" si="83"/>
        <v>0</v>
      </c>
      <c r="AF132" s="67">
        <f t="shared" si="83"/>
        <v>0</v>
      </c>
      <c r="AG132" s="67">
        <f t="shared" si="83"/>
        <v>0</v>
      </c>
      <c r="AH132" s="67">
        <f t="shared" si="74"/>
        <v>6437272.0913333334</v>
      </c>
      <c r="AI132" s="67">
        <f t="shared" si="85"/>
        <v>6437272.0913333334</v>
      </c>
      <c r="AJ132" s="67">
        <f t="shared" si="85"/>
        <v>6437272.0913333334</v>
      </c>
      <c r="AK132" s="67"/>
      <c r="AL132" s="67"/>
      <c r="AM132" s="67"/>
      <c r="AN132" s="67">
        <f t="shared" si="76"/>
        <v>19311816.274</v>
      </c>
    </row>
    <row r="133" spans="2:40" ht="12" outlineLevel="1" thickBot="1" x14ac:dyDescent="0.3">
      <c r="B133" s="75" t="s">
        <v>224</v>
      </c>
      <c r="C133" s="76"/>
      <c r="D133" s="76"/>
      <c r="E133" s="77">
        <f t="shared" ref="E133:Z133" si="86">SUBTOTAL(9,E82:E132)</f>
        <v>2516</v>
      </c>
      <c r="F133" s="77">
        <f t="shared" si="86"/>
        <v>0</v>
      </c>
      <c r="G133" s="77">
        <f t="shared" si="86"/>
        <v>0</v>
      </c>
      <c r="H133" s="77">
        <f t="shared" si="86"/>
        <v>0</v>
      </c>
      <c r="I133" s="77">
        <f t="shared" si="86"/>
        <v>0</v>
      </c>
      <c r="J133" s="77">
        <f t="shared" si="86"/>
        <v>5610703</v>
      </c>
      <c r="K133" s="77">
        <f t="shared" si="86"/>
        <v>0</v>
      </c>
      <c r="L133" s="77">
        <f t="shared" si="86"/>
        <v>57700</v>
      </c>
      <c r="M133" s="77">
        <f t="shared" si="86"/>
        <v>37571228</v>
      </c>
      <c r="N133" s="77">
        <f t="shared" si="86"/>
        <v>4881359930.5500011</v>
      </c>
      <c r="O133" s="77">
        <f t="shared" si="86"/>
        <v>0</v>
      </c>
      <c r="P133" s="77">
        <f t="shared" si="86"/>
        <v>-13412379.58</v>
      </c>
      <c r="Q133" s="78">
        <f t="shared" si="86"/>
        <v>4911187181.9700012</v>
      </c>
      <c r="S133" s="79">
        <f t="shared" si="86"/>
        <v>0</v>
      </c>
      <c r="T133" s="78">
        <f t="shared" si="86"/>
        <v>0</v>
      </c>
      <c r="U133" s="78">
        <f t="shared" si="86"/>
        <v>1683210.9</v>
      </c>
      <c r="V133" s="78">
        <f t="shared" si="86"/>
        <v>0</v>
      </c>
      <c r="W133" s="78">
        <f t="shared" si="86"/>
        <v>17310</v>
      </c>
      <c r="X133" s="78">
        <f t="shared" si="86"/>
        <v>15028491.200000003</v>
      </c>
      <c r="Y133" s="78">
        <f t="shared" si="86"/>
        <v>244722908.49349999</v>
      </c>
      <c r="Z133" s="78">
        <f t="shared" si="86"/>
        <v>261451920.59349999</v>
      </c>
      <c r="AA133" s="62"/>
      <c r="AB133" s="78">
        <f t="shared" ref="AB133:AN133" si="87">SUBTOTAL(9,AB82:AB132)</f>
        <v>0</v>
      </c>
      <c r="AC133" s="78">
        <f t="shared" si="87"/>
        <v>0</v>
      </c>
      <c r="AD133" s="78">
        <f t="shared" si="87"/>
        <v>1683210.9</v>
      </c>
      <c r="AE133" s="78">
        <f t="shared" si="87"/>
        <v>0</v>
      </c>
      <c r="AF133" s="78">
        <f t="shared" si="87"/>
        <v>17310</v>
      </c>
      <c r="AG133" s="78">
        <f t="shared" si="87"/>
        <v>15028491.200000003</v>
      </c>
      <c r="AH133" s="78">
        <f t="shared" si="87"/>
        <v>81574302.831166655</v>
      </c>
      <c r="AI133" s="78">
        <f t="shared" si="87"/>
        <v>81574302.831166655</v>
      </c>
      <c r="AJ133" s="78">
        <f t="shared" si="87"/>
        <v>81574302.831166655</v>
      </c>
      <c r="AK133" s="78">
        <f t="shared" si="87"/>
        <v>0</v>
      </c>
      <c r="AL133" s="78">
        <f t="shared" si="87"/>
        <v>0</v>
      </c>
      <c r="AM133" s="78">
        <f t="shared" si="87"/>
        <v>0</v>
      </c>
      <c r="AN133" s="78">
        <f t="shared" si="87"/>
        <v>261451920.59349999</v>
      </c>
    </row>
    <row r="134" spans="2:40" outlineLevel="2" x14ac:dyDescent="0.25">
      <c r="B134" s="63" t="s">
        <v>225</v>
      </c>
      <c r="C134" s="64">
        <v>800037166</v>
      </c>
      <c r="D134" s="65" t="s">
        <v>226</v>
      </c>
      <c r="E134" s="66">
        <v>2</v>
      </c>
      <c r="F134" s="66">
        <v>0</v>
      </c>
      <c r="G134" s="66">
        <v>0</v>
      </c>
      <c r="H134" s="66">
        <f t="shared" si="63"/>
        <v>0</v>
      </c>
      <c r="I134" s="66">
        <v>0</v>
      </c>
      <c r="J134" s="66">
        <v>0</v>
      </c>
      <c r="K134" s="66">
        <v>0</v>
      </c>
      <c r="L134" s="66">
        <v>128622</v>
      </c>
      <c r="M134" s="66">
        <v>0</v>
      </c>
      <c r="N134" s="66">
        <v>302205</v>
      </c>
      <c r="O134" s="66">
        <v>0</v>
      </c>
      <c r="P134" s="66">
        <v>0</v>
      </c>
      <c r="Q134" s="67">
        <f t="shared" si="80"/>
        <v>430827</v>
      </c>
      <c r="S134" s="68">
        <f t="shared" ref="S134:W152" si="88">+H134*30%</f>
        <v>0</v>
      </c>
      <c r="T134" s="67">
        <f t="shared" si="88"/>
        <v>0</v>
      </c>
      <c r="U134" s="67">
        <f t="shared" si="88"/>
        <v>0</v>
      </c>
      <c r="V134" s="67">
        <f t="shared" si="88"/>
        <v>0</v>
      </c>
      <c r="W134" s="67">
        <f t="shared" si="88"/>
        <v>38586.6</v>
      </c>
      <c r="X134" s="67">
        <f t="shared" ref="X134:X152" si="89">+M134*0.4</f>
        <v>0</v>
      </c>
      <c r="Y134" s="67">
        <f t="shared" ref="Y134:Y152" si="90">(Q134-S134-T134-U134-V134-W134-X134)*30%</f>
        <v>117672.12000000001</v>
      </c>
      <c r="Z134" s="67">
        <f t="shared" ref="Z134:Z152" si="91">+SUM(S134:Y134)</f>
        <v>156258.72</v>
      </c>
      <c r="AA134" s="62"/>
      <c r="AB134" s="67">
        <f>+S134</f>
        <v>0</v>
      </c>
      <c r="AC134" s="67">
        <f>+T134</f>
        <v>0</v>
      </c>
      <c r="AD134" s="67">
        <f>+U134</f>
        <v>0</v>
      </c>
      <c r="AE134" s="67">
        <f>+V134</f>
        <v>0</v>
      </c>
      <c r="AF134" s="67">
        <f t="shared" ref="AF134:AG149" si="92">+W134</f>
        <v>38586.6</v>
      </c>
      <c r="AG134" s="67">
        <f t="shared" si="92"/>
        <v>0</v>
      </c>
      <c r="AH134" s="67">
        <f>+Y134/3</f>
        <v>39224.04</v>
      </c>
      <c r="AI134" s="67">
        <f>+AH134</f>
        <v>39224.04</v>
      </c>
      <c r="AJ134" s="67">
        <f>+AI134</f>
        <v>39224.04</v>
      </c>
      <c r="AK134" s="67"/>
      <c r="AL134" s="67"/>
      <c r="AM134" s="67"/>
      <c r="AN134" s="67">
        <f t="shared" ref="AN134:AN152" si="93">+SUM(AB134:AM134)</f>
        <v>156258.72</v>
      </c>
    </row>
    <row r="135" spans="2:40" outlineLevel="2" x14ac:dyDescent="0.25">
      <c r="B135" s="63" t="s">
        <v>225</v>
      </c>
      <c r="C135" s="64">
        <v>800044113</v>
      </c>
      <c r="D135" s="65" t="s">
        <v>227</v>
      </c>
      <c r="E135" s="66">
        <v>2</v>
      </c>
      <c r="F135" s="66">
        <v>0</v>
      </c>
      <c r="G135" s="66">
        <v>0</v>
      </c>
      <c r="H135" s="66">
        <f t="shared" si="63"/>
        <v>0</v>
      </c>
      <c r="I135" s="66">
        <v>0</v>
      </c>
      <c r="J135" s="66">
        <v>0</v>
      </c>
      <c r="K135" s="66">
        <v>0</v>
      </c>
      <c r="L135" s="66">
        <v>0</v>
      </c>
      <c r="M135" s="66">
        <v>0</v>
      </c>
      <c r="N135" s="66">
        <v>2368296</v>
      </c>
      <c r="O135" s="66">
        <v>0</v>
      </c>
      <c r="P135" s="66">
        <v>0</v>
      </c>
      <c r="Q135" s="67">
        <f t="shared" si="80"/>
        <v>2368296</v>
      </c>
      <c r="S135" s="68">
        <f t="shared" si="88"/>
        <v>0</v>
      </c>
      <c r="T135" s="67">
        <f t="shared" si="88"/>
        <v>0</v>
      </c>
      <c r="U135" s="67">
        <f t="shared" si="88"/>
        <v>0</v>
      </c>
      <c r="V135" s="67">
        <f t="shared" si="88"/>
        <v>0</v>
      </c>
      <c r="W135" s="67">
        <f t="shared" si="88"/>
        <v>0</v>
      </c>
      <c r="X135" s="67">
        <f t="shared" si="89"/>
        <v>0</v>
      </c>
      <c r="Y135" s="67">
        <f t="shared" si="90"/>
        <v>710488.79999999993</v>
      </c>
      <c r="Z135" s="67">
        <f t="shared" si="91"/>
        <v>710488.79999999993</v>
      </c>
      <c r="AA135" s="62"/>
      <c r="AB135" s="67">
        <f t="shared" ref="AB135:AG152" si="94">+S135</f>
        <v>0</v>
      </c>
      <c r="AC135" s="67">
        <f t="shared" si="94"/>
        <v>0</v>
      </c>
      <c r="AD135" s="67">
        <f t="shared" si="94"/>
        <v>0</v>
      </c>
      <c r="AE135" s="67">
        <f t="shared" si="94"/>
        <v>0</v>
      </c>
      <c r="AF135" s="67">
        <f t="shared" si="92"/>
        <v>0</v>
      </c>
      <c r="AG135" s="67">
        <f t="shared" si="92"/>
        <v>0</v>
      </c>
      <c r="AH135" s="67">
        <f t="shared" ref="AH135:AH152" si="95">+Y135/3</f>
        <v>236829.59999999998</v>
      </c>
      <c r="AI135" s="67">
        <f t="shared" ref="AI135:AJ150" si="96">+AH135</f>
        <v>236829.59999999998</v>
      </c>
      <c r="AJ135" s="67">
        <f t="shared" si="96"/>
        <v>236829.59999999998</v>
      </c>
      <c r="AK135" s="67"/>
      <c r="AL135" s="67"/>
      <c r="AM135" s="67"/>
      <c r="AN135" s="67">
        <f t="shared" si="93"/>
        <v>710488.79999999993</v>
      </c>
    </row>
    <row r="136" spans="2:40" outlineLevel="2" x14ac:dyDescent="0.25">
      <c r="B136" s="63" t="s">
        <v>225</v>
      </c>
      <c r="C136" s="64">
        <v>800079035</v>
      </c>
      <c r="D136" s="65" t="s">
        <v>228</v>
      </c>
      <c r="E136" s="66">
        <v>1</v>
      </c>
      <c r="F136" s="66">
        <v>0</v>
      </c>
      <c r="G136" s="66">
        <v>0</v>
      </c>
      <c r="H136" s="66">
        <f t="shared" si="63"/>
        <v>0</v>
      </c>
      <c r="I136" s="66">
        <v>0</v>
      </c>
      <c r="J136" s="66">
        <v>0</v>
      </c>
      <c r="K136" s="66">
        <v>0</v>
      </c>
      <c r="L136" s="66">
        <v>0</v>
      </c>
      <c r="M136" s="66">
        <v>0</v>
      </c>
      <c r="N136" s="66">
        <v>56451</v>
      </c>
      <c r="O136" s="66">
        <v>0</v>
      </c>
      <c r="P136" s="66">
        <v>0</v>
      </c>
      <c r="Q136" s="67">
        <f t="shared" si="80"/>
        <v>56451</v>
      </c>
      <c r="S136" s="68">
        <f t="shared" si="88"/>
        <v>0</v>
      </c>
      <c r="T136" s="67">
        <f t="shared" si="88"/>
        <v>0</v>
      </c>
      <c r="U136" s="67">
        <f t="shared" si="88"/>
        <v>0</v>
      </c>
      <c r="V136" s="67">
        <f t="shared" si="88"/>
        <v>0</v>
      </c>
      <c r="W136" s="67">
        <f t="shared" si="88"/>
        <v>0</v>
      </c>
      <c r="X136" s="67">
        <f t="shared" si="89"/>
        <v>0</v>
      </c>
      <c r="Y136" s="67">
        <f t="shared" si="90"/>
        <v>16935.3</v>
      </c>
      <c r="Z136" s="67">
        <f t="shared" si="91"/>
        <v>16935.3</v>
      </c>
      <c r="AA136" s="62"/>
      <c r="AB136" s="67">
        <f t="shared" si="94"/>
        <v>0</v>
      </c>
      <c r="AC136" s="67">
        <f t="shared" si="94"/>
        <v>0</v>
      </c>
      <c r="AD136" s="67">
        <f t="shared" si="94"/>
        <v>0</v>
      </c>
      <c r="AE136" s="67">
        <f t="shared" si="94"/>
        <v>0</v>
      </c>
      <c r="AF136" s="67">
        <f t="shared" si="92"/>
        <v>0</v>
      </c>
      <c r="AG136" s="67">
        <f t="shared" si="92"/>
        <v>0</v>
      </c>
      <c r="AH136" s="67">
        <f t="shared" si="95"/>
        <v>5645.0999999999995</v>
      </c>
      <c r="AI136" s="67">
        <f t="shared" si="96"/>
        <v>5645.0999999999995</v>
      </c>
      <c r="AJ136" s="67">
        <f t="shared" si="96"/>
        <v>5645.0999999999995</v>
      </c>
      <c r="AK136" s="67"/>
      <c r="AL136" s="67"/>
      <c r="AM136" s="67"/>
      <c r="AN136" s="67">
        <f t="shared" si="93"/>
        <v>16935.3</v>
      </c>
    </row>
    <row r="137" spans="2:40" outlineLevel="2" x14ac:dyDescent="0.25">
      <c r="B137" s="63" t="s">
        <v>225</v>
      </c>
      <c r="C137" s="64">
        <v>800095466</v>
      </c>
      <c r="D137" s="65" t="s">
        <v>229</v>
      </c>
      <c r="E137" s="66">
        <v>1</v>
      </c>
      <c r="F137" s="66">
        <v>0</v>
      </c>
      <c r="G137" s="66">
        <v>0</v>
      </c>
      <c r="H137" s="66">
        <f t="shared" si="63"/>
        <v>0</v>
      </c>
      <c r="I137" s="66">
        <v>0</v>
      </c>
      <c r="J137" s="66">
        <v>0</v>
      </c>
      <c r="K137" s="66">
        <v>0</v>
      </c>
      <c r="L137" s="66">
        <v>0</v>
      </c>
      <c r="M137" s="66">
        <v>0</v>
      </c>
      <c r="N137" s="66">
        <v>51300</v>
      </c>
      <c r="O137" s="66">
        <v>0</v>
      </c>
      <c r="P137" s="66">
        <v>0</v>
      </c>
      <c r="Q137" s="67">
        <f t="shared" si="80"/>
        <v>51300</v>
      </c>
      <c r="S137" s="68">
        <f t="shared" si="88"/>
        <v>0</v>
      </c>
      <c r="T137" s="67">
        <f t="shared" si="88"/>
        <v>0</v>
      </c>
      <c r="U137" s="67">
        <f t="shared" si="88"/>
        <v>0</v>
      </c>
      <c r="V137" s="67">
        <f t="shared" si="88"/>
        <v>0</v>
      </c>
      <c r="W137" s="67">
        <f t="shared" si="88"/>
        <v>0</v>
      </c>
      <c r="X137" s="67">
        <f t="shared" si="89"/>
        <v>0</v>
      </c>
      <c r="Y137" s="67">
        <f t="shared" si="90"/>
        <v>15390</v>
      </c>
      <c r="Z137" s="67">
        <f t="shared" si="91"/>
        <v>15390</v>
      </c>
      <c r="AA137" s="62"/>
      <c r="AB137" s="67">
        <f t="shared" si="94"/>
        <v>0</v>
      </c>
      <c r="AC137" s="67">
        <f t="shared" si="94"/>
        <v>0</v>
      </c>
      <c r="AD137" s="67">
        <f t="shared" si="94"/>
        <v>0</v>
      </c>
      <c r="AE137" s="67">
        <f t="shared" si="94"/>
        <v>0</v>
      </c>
      <c r="AF137" s="67">
        <f t="shared" si="92"/>
        <v>0</v>
      </c>
      <c r="AG137" s="67">
        <f t="shared" si="92"/>
        <v>0</v>
      </c>
      <c r="AH137" s="67">
        <f t="shared" si="95"/>
        <v>5130</v>
      </c>
      <c r="AI137" s="67">
        <f t="shared" si="96"/>
        <v>5130</v>
      </c>
      <c r="AJ137" s="67">
        <f t="shared" si="96"/>
        <v>5130</v>
      </c>
      <c r="AK137" s="67"/>
      <c r="AL137" s="67"/>
      <c r="AM137" s="67"/>
      <c r="AN137" s="67">
        <f t="shared" si="93"/>
        <v>15390</v>
      </c>
    </row>
    <row r="138" spans="2:40" outlineLevel="2" x14ac:dyDescent="0.25">
      <c r="B138" s="63" t="s">
        <v>225</v>
      </c>
      <c r="C138" s="64">
        <v>800096595</v>
      </c>
      <c r="D138" s="65" t="s">
        <v>230</v>
      </c>
      <c r="E138" s="66">
        <v>1</v>
      </c>
      <c r="F138" s="66">
        <v>0</v>
      </c>
      <c r="G138" s="66">
        <v>0</v>
      </c>
      <c r="H138" s="66">
        <f t="shared" si="63"/>
        <v>0</v>
      </c>
      <c r="I138" s="66">
        <v>0</v>
      </c>
      <c r="J138" s="66">
        <v>0</v>
      </c>
      <c r="K138" s="66">
        <v>0</v>
      </c>
      <c r="L138" s="66">
        <v>0</v>
      </c>
      <c r="M138" s="66">
        <v>0</v>
      </c>
      <c r="N138" s="66">
        <v>77900</v>
      </c>
      <c r="O138" s="66">
        <v>0</v>
      </c>
      <c r="P138" s="66">
        <v>0</v>
      </c>
      <c r="Q138" s="67">
        <f t="shared" si="80"/>
        <v>77900</v>
      </c>
      <c r="S138" s="68">
        <f t="shared" si="88"/>
        <v>0</v>
      </c>
      <c r="T138" s="67">
        <f t="shared" si="88"/>
        <v>0</v>
      </c>
      <c r="U138" s="67">
        <f t="shared" si="88"/>
        <v>0</v>
      </c>
      <c r="V138" s="67">
        <f t="shared" si="88"/>
        <v>0</v>
      </c>
      <c r="W138" s="67">
        <f t="shared" si="88"/>
        <v>0</v>
      </c>
      <c r="X138" s="67">
        <f t="shared" si="89"/>
        <v>0</v>
      </c>
      <c r="Y138" s="67">
        <f t="shared" si="90"/>
        <v>23370</v>
      </c>
      <c r="Z138" s="67">
        <f t="shared" si="91"/>
        <v>23370</v>
      </c>
      <c r="AA138" s="62"/>
      <c r="AB138" s="67">
        <f t="shared" si="94"/>
        <v>0</v>
      </c>
      <c r="AC138" s="67">
        <f t="shared" si="94"/>
        <v>0</v>
      </c>
      <c r="AD138" s="67">
        <f t="shared" si="94"/>
        <v>0</v>
      </c>
      <c r="AE138" s="67">
        <f t="shared" si="94"/>
        <v>0</v>
      </c>
      <c r="AF138" s="67">
        <f t="shared" si="92"/>
        <v>0</v>
      </c>
      <c r="AG138" s="67">
        <f t="shared" si="92"/>
        <v>0</v>
      </c>
      <c r="AH138" s="67">
        <f t="shared" si="95"/>
        <v>7790</v>
      </c>
      <c r="AI138" s="67">
        <f t="shared" si="96"/>
        <v>7790</v>
      </c>
      <c r="AJ138" s="67">
        <f t="shared" si="96"/>
        <v>7790</v>
      </c>
      <c r="AK138" s="67"/>
      <c r="AL138" s="67"/>
      <c r="AM138" s="67"/>
      <c r="AN138" s="67">
        <f t="shared" si="93"/>
        <v>23370</v>
      </c>
    </row>
    <row r="139" spans="2:40" outlineLevel="2" x14ac:dyDescent="0.25">
      <c r="B139" s="63" t="s">
        <v>225</v>
      </c>
      <c r="C139" s="64">
        <v>800098195</v>
      </c>
      <c r="D139" s="65" t="s">
        <v>231</v>
      </c>
      <c r="E139" s="66">
        <v>2</v>
      </c>
      <c r="F139" s="66">
        <v>0</v>
      </c>
      <c r="G139" s="66">
        <v>0</v>
      </c>
      <c r="H139" s="66">
        <f t="shared" si="63"/>
        <v>0</v>
      </c>
      <c r="I139" s="66">
        <v>0</v>
      </c>
      <c r="J139" s="66">
        <v>0</v>
      </c>
      <c r="K139" s="66">
        <v>0</v>
      </c>
      <c r="L139" s="66">
        <v>0</v>
      </c>
      <c r="M139" s="66">
        <v>0</v>
      </c>
      <c r="N139" s="66">
        <v>7805324</v>
      </c>
      <c r="O139" s="66">
        <v>0</v>
      </c>
      <c r="P139" s="66">
        <v>0</v>
      </c>
      <c r="Q139" s="67">
        <f t="shared" si="80"/>
        <v>7805324</v>
      </c>
      <c r="S139" s="68">
        <f t="shared" si="88"/>
        <v>0</v>
      </c>
      <c r="T139" s="67">
        <f t="shared" si="88"/>
        <v>0</v>
      </c>
      <c r="U139" s="67">
        <f t="shared" si="88"/>
        <v>0</v>
      </c>
      <c r="V139" s="67">
        <f t="shared" si="88"/>
        <v>0</v>
      </c>
      <c r="W139" s="67">
        <f t="shared" si="88"/>
        <v>0</v>
      </c>
      <c r="X139" s="67">
        <f t="shared" si="89"/>
        <v>0</v>
      </c>
      <c r="Y139" s="67">
        <f t="shared" si="90"/>
        <v>2341597.1999999997</v>
      </c>
      <c r="Z139" s="67">
        <f t="shared" si="91"/>
        <v>2341597.1999999997</v>
      </c>
      <c r="AA139" s="62"/>
      <c r="AB139" s="67">
        <f t="shared" si="94"/>
        <v>0</v>
      </c>
      <c r="AC139" s="67">
        <f t="shared" si="94"/>
        <v>0</v>
      </c>
      <c r="AD139" s="67">
        <f t="shared" si="94"/>
        <v>0</v>
      </c>
      <c r="AE139" s="67">
        <f t="shared" si="94"/>
        <v>0</v>
      </c>
      <c r="AF139" s="67">
        <f t="shared" si="92"/>
        <v>0</v>
      </c>
      <c r="AG139" s="67">
        <f t="shared" si="92"/>
        <v>0</v>
      </c>
      <c r="AH139" s="67">
        <f t="shared" si="95"/>
        <v>780532.39999999991</v>
      </c>
      <c r="AI139" s="67">
        <f t="shared" si="96"/>
        <v>780532.39999999991</v>
      </c>
      <c r="AJ139" s="67">
        <f t="shared" si="96"/>
        <v>780532.39999999991</v>
      </c>
      <c r="AK139" s="67"/>
      <c r="AL139" s="67"/>
      <c r="AM139" s="67"/>
      <c r="AN139" s="67">
        <f t="shared" si="93"/>
        <v>2341597.1999999997</v>
      </c>
    </row>
    <row r="140" spans="2:40" outlineLevel="2" x14ac:dyDescent="0.25">
      <c r="B140" s="63" t="s">
        <v>225</v>
      </c>
      <c r="C140" s="64">
        <v>800100053</v>
      </c>
      <c r="D140" s="65" t="s">
        <v>232</v>
      </c>
      <c r="E140" s="66">
        <v>2</v>
      </c>
      <c r="F140" s="66">
        <v>0</v>
      </c>
      <c r="G140" s="66">
        <v>0</v>
      </c>
      <c r="H140" s="66">
        <f t="shared" si="63"/>
        <v>0</v>
      </c>
      <c r="I140" s="66">
        <v>0</v>
      </c>
      <c r="J140" s="66">
        <v>0</v>
      </c>
      <c r="K140" s="66">
        <v>0</v>
      </c>
      <c r="L140" s="66">
        <v>0</v>
      </c>
      <c r="M140" s="66">
        <v>0</v>
      </c>
      <c r="N140" s="66">
        <v>148770</v>
      </c>
      <c r="O140" s="66">
        <v>0</v>
      </c>
      <c r="P140" s="66">
        <v>0</v>
      </c>
      <c r="Q140" s="67">
        <f t="shared" ref="Q140:Q178" si="97">SUM(H140:P140)</f>
        <v>148770</v>
      </c>
      <c r="S140" s="68">
        <f t="shared" si="88"/>
        <v>0</v>
      </c>
      <c r="T140" s="67">
        <f t="shared" si="88"/>
        <v>0</v>
      </c>
      <c r="U140" s="67">
        <f t="shared" si="88"/>
        <v>0</v>
      </c>
      <c r="V140" s="67">
        <f t="shared" si="88"/>
        <v>0</v>
      </c>
      <c r="W140" s="67">
        <f t="shared" si="88"/>
        <v>0</v>
      </c>
      <c r="X140" s="67">
        <f t="shared" si="89"/>
        <v>0</v>
      </c>
      <c r="Y140" s="67">
        <f t="shared" si="90"/>
        <v>44631</v>
      </c>
      <c r="Z140" s="67">
        <f t="shared" si="91"/>
        <v>44631</v>
      </c>
      <c r="AA140" s="62"/>
      <c r="AB140" s="67">
        <f t="shared" si="94"/>
        <v>0</v>
      </c>
      <c r="AC140" s="67">
        <f t="shared" si="94"/>
        <v>0</v>
      </c>
      <c r="AD140" s="67">
        <f t="shared" si="94"/>
        <v>0</v>
      </c>
      <c r="AE140" s="67">
        <f t="shared" si="94"/>
        <v>0</v>
      </c>
      <c r="AF140" s="67">
        <f t="shared" si="92"/>
        <v>0</v>
      </c>
      <c r="AG140" s="67">
        <f t="shared" si="92"/>
        <v>0</v>
      </c>
      <c r="AH140" s="67">
        <f t="shared" si="95"/>
        <v>14877</v>
      </c>
      <c r="AI140" s="67">
        <f t="shared" si="96"/>
        <v>14877</v>
      </c>
      <c r="AJ140" s="67">
        <f t="shared" si="96"/>
        <v>14877</v>
      </c>
      <c r="AK140" s="67"/>
      <c r="AL140" s="67"/>
      <c r="AM140" s="67"/>
      <c r="AN140" s="67">
        <f t="shared" si="93"/>
        <v>44631</v>
      </c>
    </row>
    <row r="141" spans="2:40" outlineLevel="2" x14ac:dyDescent="0.25">
      <c r="B141" s="63" t="s">
        <v>225</v>
      </c>
      <c r="C141" s="64">
        <v>800100145</v>
      </c>
      <c r="D141" s="65" t="s">
        <v>233</v>
      </c>
      <c r="E141" s="66">
        <v>2</v>
      </c>
      <c r="F141" s="66">
        <v>0</v>
      </c>
      <c r="G141" s="66">
        <v>0</v>
      </c>
      <c r="H141" s="66">
        <f t="shared" si="63"/>
        <v>0</v>
      </c>
      <c r="I141" s="66">
        <v>0</v>
      </c>
      <c r="J141" s="66">
        <v>0</v>
      </c>
      <c r="K141" s="66">
        <v>0</v>
      </c>
      <c r="L141" s="66">
        <v>0</v>
      </c>
      <c r="M141" s="66">
        <v>0</v>
      </c>
      <c r="N141" s="66">
        <v>90600</v>
      </c>
      <c r="O141" s="66">
        <v>0</v>
      </c>
      <c r="P141" s="66">
        <v>0</v>
      </c>
      <c r="Q141" s="67">
        <f t="shared" si="97"/>
        <v>90600</v>
      </c>
      <c r="S141" s="68">
        <f t="shared" si="88"/>
        <v>0</v>
      </c>
      <c r="T141" s="67">
        <f t="shared" si="88"/>
        <v>0</v>
      </c>
      <c r="U141" s="67">
        <f t="shared" si="88"/>
        <v>0</v>
      </c>
      <c r="V141" s="67">
        <f t="shared" si="88"/>
        <v>0</v>
      </c>
      <c r="W141" s="67">
        <f t="shared" si="88"/>
        <v>0</v>
      </c>
      <c r="X141" s="67">
        <f t="shared" si="89"/>
        <v>0</v>
      </c>
      <c r="Y141" s="67">
        <f t="shared" si="90"/>
        <v>27180</v>
      </c>
      <c r="Z141" s="67">
        <f t="shared" si="91"/>
        <v>27180</v>
      </c>
      <c r="AA141" s="62"/>
      <c r="AB141" s="67">
        <f t="shared" si="94"/>
        <v>0</v>
      </c>
      <c r="AC141" s="67">
        <f t="shared" si="94"/>
        <v>0</v>
      </c>
      <c r="AD141" s="67">
        <f t="shared" si="94"/>
        <v>0</v>
      </c>
      <c r="AE141" s="67">
        <f t="shared" si="94"/>
        <v>0</v>
      </c>
      <c r="AF141" s="67">
        <f t="shared" si="92"/>
        <v>0</v>
      </c>
      <c r="AG141" s="67">
        <f t="shared" si="92"/>
        <v>0</v>
      </c>
      <c r="AH141" s="67">
        <f t="shared" si="95"/>
        <v>9060</v>
      </c>
      <c r="AI141" s="67">
        <f t="shared" si="96"/>
        <v>9060</v>
      </c>
      <c r="AJ141" s="67">
        <f t="shared" si="96"/>
        <v>9060</v>
      </c>
      <c r="AK141" s="67"/>
      <c r="AL141" s="67"/>
      <c r="AM141" s="67"/>
      <c r="AN141" s="67">
        <f t="shared" si="93"/>
        <v>27180</v>
      </c>
    </row>
    <row r="142" spans="2:40" outlineLevel="2" x14ac:dyDescent="0.25">
      <c r="B142" s="63" t="s">
        <v>225</v>
      </c>
      <c r="C142" s="64">
        <v>800128428</v>
      </c>
      <c r="D142" s="65" t="s">
        <v>234</v>
      </c>
      <c r="E142" s="66">
        <v>1</v>
      </c>
      <c r="F142" s="66">
        <v>0</v>
      </c>
      <c r="G142" s="66">
        <v>0</v>
      </c>
      <c r="H142" s="66">
        <f t="shared" si="63"/>
        <v>0</v>
      </c>
      <c r="I142" s="66">
        <v>0</v>
      </c>
      <c r="J142" s="66">
        <v>0</v>
      </c>
      <c r="K142" s="66">
        <v>0</v>
      </c>
      <c r="L142" s="66">
        <v>0</v>
      </c>
      <c r="M142" s="66">
        <v>0</v>
      </c>
      <c r="N142" s="66">
        <v>102642</v>
      </c>
      <c r="O142" s="66">
        <v>0</v>
      </c>
      <c r="P142" s="66">
        <v>0</v>
      </c>
      <c r="Q142" s="67">
        <f t="shared" si="97"/>
        <v>102642</v>
      </c>
      <c r="S142" s="68">
        <f t="shared" si="88"/>
        <v>0</v>
      </c>
      <c r="T142" s="67">
        <f t="shared" si="88"/>
        <v>0</v>
      </c>
      <c r="U142" s="67">
        <f t="shared" si="88"/>
        <v>0</v>
      </c>
      <c r="V142" s="67">
        <f t="shared" si="88"/>
        <v>0</v>
      </c>
      <c r="W142" s="67">
        <f t="shared" si="88"/>
        <v>0</v>
      </c>
      <c r="X142" s="67">
        <f t="shared" si="89"/>
        <v>0</v>
      </c>
      <c r="Y142" s="67">
        <f t="shared" si="90"/>
        <v>30792.6</v>
      </c>
      <c r="Z142" s="67">
        <f t="shared" si="91"/>
        <v>30792.6</v>
      </c>
      <c r="AA142" s="62"/>
      <c r="AB142" s="67">
        <f t="shared" si="94"/>
        <v>0</v>
      </c>
      <c r="AC142" s="67">
        <f t="shared" si="94"/>
        <v>0</v>
      </c>
      <c r="AD142" s="67">
        <f t="shared" si="94"/>
        <v>0</v>
      </c>
      <c r="AE142" s="67">
        <f t="shared" si="94"/>
        <v>0</v>
      </c>
      <c r="AF142" s="67">
        <f t="shared" si="92"/>
        <v>0</v>
      </c>
      <c r="AG142" s="67">
        <f t="shared" si="92"/>
        <v>0</v>
      </c>
      <c r="AH142" s="67">
        <f t="shared" si="95"/>
        <v>10264.199999999999</v>
      </c>
      <c r="AI142" s="67">
        <f t="shared" si="96"/>
        <v>10264.199999999999</v>
      </c>
      <c r="AJ142" s="67">
        <f t="shared" si="96"/>
        <v>10264.199999999999</v>
      </c>
      <c r="AK142" s="67"/>
      <c r="AL142" s="67"/>
      <c r="AM142" s="67"/>
      <c r="AN142" s="67">
        <f t="shared" si="93"/>
        <v>30792.6</v>
      </c>
    </row>
    <row r="143" spans="2:40" outlineLevel="2" x14ac:dyDescent="0.25">
      <c r="B143" s="63" t="s">
        <v>225</v>
      </c>
      <c r="C143" s="64">
        <v>806001439</v>
      </c>
      <c r="D143" s="65" t="s">
        <v>235</v>
      </c>
      <c r="E143" s="66">
        <v>1</v>
      </c>
      <c r="F143" s="66">
        <v>0</v>
      </c>
      <c r="G143" s="66">
        <v>0</v>
      </c>
      <c r="H143" s="66">
        <f t="shared" si="63"/>
        <v>0</v>
      </c>
      <c r="I143" s="66">
        <v>0</v>
      </c>
      <c r="J143" s="66">
        <v>0</v>
      </c>
      <c r="K143" s="66">
        <v>0</v>
      </c>
      <c r="L143" s="66">
        <v>0</v>
      </c>
      <c r="M143" s="66">
        <v>0</v>
      </c>
      <c r="N143" s="66">
        <v>48700</v>
      </c>
      <c r="O143" s="66">
        <v>0</v>
      </c>
      <c r="P143" s="66">
        <v>0</v>
      </c>
      <c r="Q143" s="67">
        <f t="shared" si="97"/>
        <v>48700</v>
      </c>
      <c r="S143" s="68">
        <f t="shared" si="88"/>
        <v>0</v>
      </c>
      <c r="T143" s="67">
        <f t="shared" si="88"/>
        <v>0</v>
      </c>
      <c r="U143" s="67">
        <f t="shared" si="88"/>
        <v>0</v>
      </c>
      <c r="V143" s="67">
        <f t="shared" si="88"/>
        <v>0</v>
      </c>
      <c r="W143" s="67">
        <f t="shared" si="88"/>
        <v>0</v>
      </c>
      <c r="X143" s="67">
        <f t="shared" si="89"/>
        <v>0</v>
      </c>
      <c r="Y143" s="67">
        <f t="shared" si="90"/>
        <v>14610</v>
      </c>
      <c r="Z143" s="67">
        <f t="shared" si="91"/>
        <v>14610</v>
      </c>
      <c r="AA143" s="62"/>
      <c r="AB143" s="67">
        <f t="shared" si="94"/>
        <v>0</v>
      </c>
      <c r="AC143" s="67">
        <f t="shared" si="94"/>
        <v>0</v>
      </c>
      <c r="AD143" s="67">
        <f t="shared" si="94"/>
        <v>0</v>
      </c>
      <c r="AE143" s="67">
        <f t="shared" si="94"/>
        <v>0</v>
      </c>
      <c r="AF143" s="67">
        <f t="shared" si="92"/>
        <v>0</v>
      </c>
      <c r="AG143" s="67">
        <f t="shared" si="92"/>
        <v>0</v>
      </c>
      <c r="AH143" s="67">
        <f t="shared" si="95"/>
        <v>4870</v>
      </c>
      <c r="AI143" s="67">
        <f t="shared" si="96"/>
        <v>4870</v>
      </c>
      <c r="AJ143" s="67">
        <f t="shared" si="96"/>
        <v>4870</v>
      </c>
      <c r="AK143" s="67"/>
      <c r="AL143" s="67"/>
      <c r="AM143" s="67"/>
      <c r="AN143" s="67">
        <f t="shared" si="93"/>
        <v>14610</v>
      </c>
    </row>
    <row r="144" spans="2:40" outlineLevel="2" x14ac:dyDescent="0.25">
      <c r="B144" s="63" t="s">
        <v>225</v>
      </c>
      <c r="C144" s="64">
        <v>890112371</v>
      </c>
      <c r="D144" s="65" t="s">
        <v>236</v>
      </c>
      <c r="E144" s="66">
        <v>1</v>
      </c>
      <c r="F144" s="66">
        <v>0</v>
      </c>
      <c r="G144" s="66">
        <v>0</v>
      </c>
      <c r="H144" s="66">
        <f t="shared" ref="H144:H215" si="98">+F144+G144</f>
        <v>0</v>
      </c>
      <c r="I144" s="66">
        <v>0</v>
      </c>
      <c r="J144" s="66">
        <v>0</v>
      </c>
      <c r="K144" s="66">
        <v>0</v>
      </c>
      <c r="L144" s="66">
        <v>0</v>
      </c>
      <c r="M144" s="66">
        <v>0</v>
      </c>
      <c r="N144" s="66">
        <v>48700</v>
      </c>
      <c r="O144" s="66">
        <v>0</v>
      </c>
      <c r="P144" s="66">
        <v>0</v>
      </c>
      <c r="Q144" s="67">
        <f t="shared" si="97"/>
        <v>48700</v>
      </c>
      <c r="S144" s="68">
        <f t="shared" si="88"/>
        <v>0</v>
      </c>
      <c r="T144" s="67">
        <f t="shared" si="88"/>
        <v>0</v>
      </c>
      <c r="U144" s="67">
        <f t="shared" si="88"/>
        <v>0</v>
      </c>
      <c r="V144" s="67">
        <f t="shared" si="88"/>
        <v>0</v>
      </c>
      <c r="W144" s="67">
        <f t="shared" si="88"/>
        <v>0</v>
      </c>
      <c r="X144" s="67">
        <f t="shared" si="89"/>
        <v>0</v>
      </c>
      <c r="Y144" s="67">
        <f t="shared" si="90"/>
        <v>14610</v>
      </c>
      <c r="Z144" s="67">
        <f t="shared" si="91"/>
        <v>14610</v>
      </c>
      <c r="AA144" s="62"/>
      <c r="AB144" s="67">
        <f t="shared" si="94"/>
        <v>0</v>
      </c>
      <c r="AC144" s="67">
        <f t="shared" si="94"/>
        <v>0</v>
      </c>
      <c r="AD144" s="67">
        <f t="shared" si="94"/>
        <v>0</v>
      </c>
      <c r="AE144" s="67">
        <f t="shared" si="94"/>
        <v>0</v>
      </c>
      <c r="AF144" s="67">
        <f t="shared" si="92"/>
        <v>0</v>
      </c>
      <c r="AG144" s="67">
        <f t="shared" si="92"/>
        <v>0</v>
      </c>
      <c r="AH144" s="67">
        <f t="shared" si="95"/>
        <v>4870</v>
      </c>
      <c r="AI144" s="67">
        <f t="shared" si="96"/>
        <v>4870</v>
      </c>
      <c r="AJ144" s="67">
        <f t="shared" si="96"/>
        <v>4870</v>
      </c>
      <c r="AK144" s="67"/>
      <c r="AL144" s="67"/>
      <c r="AM144" s="67"/>
      <c r="AN144" s="67">
        <f t="shared" si="93"/>
        <v>14610</v>
      </c>
    </row>
    <row r="145" spans="2:40" outlineLevel="2" x14ac:dyDescent="0.25">
      <c r="B145" s="63" t="s">
        <v>225</v>
      </c>
      <c r="C145" s="64">
        <v>890201190</v>
      </c>
      <c r="D145" s="65" t="s">
        <v>237</v>
      </c>
      <c r="E145" s="66">
        <v>1</v>
      </c>
      <c r="F145" s="66">
        <v>0</v>
      </c>
      <c r="G145" s="66">
        <v>0</v>
      </c>
      <c r="H145" s="66">
        <f t="shared" si="98"/>
        <v>0</v>
      </c>
      <c r="I145" s="66">
        <v>0</v>
      </c>
      <c r="J145" s="66">
        <v>0</v>
      </c>
      <c r="K145" s="66">
        <v>0</v>
      </c>
      <c r="L145" s="66">
        <v>0</v>
      </c>
      <c r="M145" s="66">
        <v>0</v>
      </c>
      <c r="N145" s="66">
        <v>52929</v>
      </c>
      <c r="O145" s="66">
        <v>0</v>
      </c>
      <c r="P145" s="66">
        <v>0</v>
      </c>
      <c r="Q145" s="67">
        <f t="shared" si="97"/>
        <v>52929</v>
      </c>
      <c r="S145" s="68">
        <f t="shared" si="88"/>
        <v>0</v>
      </c>
      <c r="T145" s="67">
        <f t="shared" si="88"/>
        <v>0</v>
      </c>
      <c r="U145" s="67">
        <f t="shared" si="88"/>
        <v>0</v>
      </c>
      <c r="V145" s="67">
        <f t="shared" si="88"/>
        <v>0</v>
      </c>
      <c r="W145" s="67">
        <f t="shared" si="88"/>
        <v>0</v>
      </c>
      <c r="X145" s="67">
        <f t="shared" si="89"/>
        <v>0</v>
      </c>
      <c r="Y145" s="67">
        <f t="shared" si="90"/>
        <v>15878.699999999999</v>
      </c>
      <c r="Z145" s="67">
        <f t="shared" si="91"/>
        <v>15878.699999999999</v>
      </c>
      <c r="AA145" s="62"/>
      <c r="AB145" s="67">
        <f t="shared" si="94"/>
        <v>0</v>
      </c>
      <c r="AC145" s="67">
        <f t="shared" si="94"/>
        <v>0</v>
      </c>
      <c r="AD145" s="67">
        <f t="shared" si="94"/>
        <v>0</v>
      </c>
      <c r="AE145" s="67">
        <f t="shared" si="94"/>
        <v>0</v>
      </c>
      <c r="AF145" s="67">
        <f t="shared" si="92"/>
        <v>0</v>
      </c>
      <c r="AG145" s="67">
        <f t="shared" si="92"/>
        <v>0</v>
      </c>
      <c r="AH145" s="67">
        <f t="shared" si="95"/>
        <v>5292.9</v>
      </c>
      <c r="AI145" s="67">
        <f t="shared" si="96"/>
        <v>5292.9</v>
      </c>
      <c r="AJ145" s="67">
        <f t="shared" si="96"/>
        <v>5292.9</v>
      </c>
      <c r="AK145" s="67"/>
      <c r="AL145" s="67"/>
      <c r="AM145" s="67"/>
      <c r="AN145" s="67">
        <f t="shared" si="93"/>
        <v>15878.699999999999</v>
      </c>
    </row>
    <row r="146" spans="2:40" outlineLevel="2" x14ac:dyDescent="0.25">
      <c r="B146" s="63" t="s">
        <v>225</v>
      </c>
      <c r="C146" s="64">
        <v>890399045</v>
      </c>
      <c r="D146" s="65" t="s">
        <v>238</v>
      </c>
      <c r="E146" s="66">
        <v>1</v>
      </c>
      <c r="F146" s="66">
        <v>0</v>
      </c>
      <c r="G146" s="66">
        <v>0</v>
      </c>
      <c r="H146" s="66">
        <f t="shared" si="98"/>
        <v>0</v>
      </c>
      <c r="I146" s="66">
        <v>0</v>
      </c>
      <c r="J146" s="66">
        <v>0</v>
      </c>
      <c r="K146" s="66">
        <v>0</v>
      </c>
      <c r="L146" s="66">
        <v>0</v>
      </c>
      <c r="M146" s="66">
        <v>0</v>
      </c>
      <c r="N146" s="66">
        <v>9567367</v>
      </c>
      <c r="O146" s="66">
        <v>0</v>
      </c>
      <c r="P146" s="66">
        <v>0</v>
      </c>
      <c r="Q146" s="67">
        <f t="shared" si="97"/>
        <v>9567367</v>
      </c>
      <c r="S146" s="68">
        <f t="shared" si="88"/>
        <v>0</v>
      </c>
      <c r="T146" s="67">
        <f t="shared" si="88"/>
        <v>0</v>
      </c>
      <c r="U146" s="67">
        <f t="shared" si="88"/>
        <v>0</v>
      </c>
      <c r="V146" s="67">
        <f t="shared" si="88"/>
        <v>0</v>
      </c>
      <c r="W146" s="67">
        <f t="shared" si="88"/>
        <v>0</v>
      </c>
      <c r="X146" s="67">
        <f t="shared" si="89"/>
        <v>0</v>
      </c>
      <c r="Y146" s="67">
        <f t="shared" si="90"/>
        <v>2870210.1</v>
      </c>
      <c r="Z146" s="67">
        <f t="shared" si="91"/>
        <v>2870210.1</v>
      </c>
      <c r="AA146" s="62"/>
      <c r="AB146" s="67">
        <f t="shared" si="94"/>
        <v>0</v>
      </c>
      <c r="AC146" s="67">
        <f t="shared" si="94"/>
        <v>0</v>
      </c>
      <c r="AD146" s="67">
        <f t="shared" si="94"/>
        <v>0</v>
      </c>
      <c r="AE146" s="67">
        <f t="shared" si="94"/>
        <v>0</v>
      </c>
      <c r="AF146" s="67">
        <f t="shared" si="92"/>
        <v>0</v>
      </c>
      <c r="AG146" s="67">
        <f t="shared" si="92"/>
        <v>0</v>
      </c>
      <c r="AH146" s="67">
        <f t="shared" si="95"/>
        <v>956736.70000000007</v>
      </c>
      <c r="AI146" s="67">
        <f t="shared" si="96"/>
        <v>956736.70000000007</v>
      </c>
      <c r="AJ146" s="67">
        <f t="shared" si="96"/>
        <v>956736.70000000007</v>
      </c>
      <c r="AK146" s="67"/>
      <c r="AL146" s="67"/>
      <c r="AM146" s="67"/>
      <c r="AN146" s="67">
        <f t="shared" si="93"/>
        <v>2870210.1</v>
      </c>
    </row>
    <row r="147" spans="2:40" outlineLevel="2" x14ac:dyDescent="0.25">
      <c r="B147" s="63" t="s">
        <v>225</v>
      </c>
      <c r="C147" s="64">
        <v>890905211</v>
      </c>
      <c r="D147" s="65" t="s">
        <v>239</v>
      </c>
      <c r="E147" s="66">
        <v>2</v>
      </c>
      <c r="F147" s="66">
        <v>0</v>
      </c>
      <c r="G147" s="66">
        <v>0</v>
      </c>
      <c r="H147" s="66">
        <f t="shared" si="98"/>
        <v>0</v>
      </c>
      <c r="I147" s="66">
        <v>0</v>
      </c>
      <c r="J147" s="66">
        <v>0</v>
      </c>
      <c r="K147" s="66">
        <v>0</v>
      </c>
      <c r="L147" s="66">
        <v>0</v>
      </c>
      <c r="M147" s="66">
        <v>0</v>
      </c>
      <c r="N147" s="66">
        <v>3641774</v>
      </c>
      <c r="O147" s="66">
        <v>0</v>
      </c>
      <c r="P147" s="66">
        <v>0</v>
      </c>
      <c r="Q147" s="67">
        <f t="shared" si="97"/>
        <v>3641774</v>
      </c>
      <c r="S147" s="68">
        <f t="shared" si="88"/>
        <v>0</v>
      </c>
      <c r="T147" s="67">
        <f t="shared" si="88"/>
        <v>0</v>
      </c>
      <c r="U147" s="67">
        <f t="shared" si="88"/>
        <v>0</v>
      </c>
      <c r="V147" s="67">
        <f t="shared" si="88"/>
        <v>0</v>
      </c>
      <c r="W147" s="67">
        <f t="shared" si="88"/>
        <v>0</v>
      </c>
      <c r="X147" s="67">
        <f t="shared" si="89"/>
        <v>0</v>
      </c>
      <c r="Y147" s="67">
        <f t="shared" si="90"/>
        <v>1092532.2</v>
      </c>
      <c r="Z147" s="67">
        <f t="shared" si="91"/>
        <v>1092532.2</v>
      </c>
      <c r="AA147" s="62"/>
      <c r="AB147" s="67">
        <f t="shared" si="94"/>
        <v>0</v>
      </c>
      <c r="AC147" s="67">
        <f t="shared" si="94"/>
        <v>0</v>
      </c>
      <c r="AD147" s="67">
        <f t="shared" si="94"/>
        <v>0</v>
      </c>
      <c r="AE147" s="67">
        <f t="shared" si="94"/>
        <v>0</v>
      </c>
      <c r="AF147" s="67">
        <f t="shared" si="92"/>
        <v>0</v>
      </c>
      <c r="AG147" s="67">
        <f t="shared" si="92"/>
        <v>0</v>
      </c>
      <c r="AH147" s="67">
        <f t="shared" si="95"/>
        <v>364177.39999999997</v>
      </c>
      <c r="AI147" s="67">
        <f t="shared" si="96"/>
        <v>364177.39999999997</v>
      </c>
      <c r="AJ147" s="67">
        <f t="shared" si="96"/>
        <v>364177.39999999997</v>
      </c>
      <c r="AK147" s="67"/>
      <c r="AL147" s="67"/>
      <c r="AM147" s="67"/>
      <c r="AN147" s="67">
        <f t="shared" si="93"/>
        <v>1092532.2</v>
      </c>
    </row>
    <row r="148" spans="2:40" outlineLevel="2" x14ac:dyDescent="0.25">
      <c r="B148" s="63" t="s">
        <v>225</v>
      </c>
      <c r="C148" s="64">
        <v>890983716</v>
      </c>
      <c r="D148" s="65" t="s">
        <v>240</v>
      </c>
      <c r="E148" s="66">
        <v>1</v>
      </c>
      <c r="F148" s="66">
        <v>0</v>
      </c>
      <c r="G148" s="66">
        <v>0</v>
      </c>
      <c r="H148" s="66">
        <f t="shared" si="98"/>
        <v>0</v>
      </c>
      <c r="I148" s="66">
        <v>0</v>
      </c>
      <c r="J148" s="66">
        <v>0</v>
      </c>
      <c r="K148" s="66">
        <v>0</v>
      </c>
      <c r="L148" s="66">
        <v>0</v>
      </c>
      <c r="M148" s="66">
        <v>0</v>
      </c>
      <c r="N148" s="66">
        <v>2266</v>
      </c>
      <c r="O148" s="66">
        <v>0</v>
      </c>
      <c r="P148" s="66">
        <v>0</v>
      </c>
      <c r="Q148" s="67">
        <f t="shared" si="97"/>
        <v>2266</v>
      </c>
      <c r="S148" s="68">
        <f t="shared" si="88"/>
        <v>0</v>
      </c>
      <c r="T148" s="67">
        <f t="shared" si="88"/>
        <v>0</v>
      </c>
      <c r="U148" s="67">
        <f t="shared" si="88"/>
        <v>0</v>
      </c>
      <c r="V148" s="67">
        <f t="shared" si="88"/>
        <v>0</v>
      </c>
      <c r="W148" s="67">
        <f t="shared" si="88"/>
        <v>0</v>
      </c>
      <c r="X148" s="67">
        <f t="shared" si="89"/>
        <v>0</v>
      </c>
      <c r="Y148" s="67">
        <f t="shared" si="90"/>
        <v>679.8</v>
      </c>
      <c r="Z148" s="67">
        <f t="shared" si="91"/>
        <v>679.8</v>
      </c>
      <c r="AA148" s="62"/>
      <c r="AB148" s="67">
        <f t="shared" si="94"/>
        <v>0</v>
      </c>
      <c r="AC148" s="67">
        <f t="shared" si="94"/>
        <v>0</v>
      </c>
      <c r="AD148" s="67">
        <f t="shared" si="94"/>
        <v>0</v>
      </c>
      <c r="AE148" s="67">
        <f t="shared" si="94"/>
        <v>0</v>
      </c>
      <c r="AF148" s="67">
        <f t="shared" si="92"/>
        <v>0</v>
      </c>
      <c r="AG148" s="67">
        <f t="shared" si="92"/>
        <v>0</v>
      </c>
      <c r="AH148" s="67">
        <f t="shared" si="95"/>
        <v>226.6</v>
      </c>
      <c r="AI148" s="67">
        <f t="shared" si="96"/>
        <v>226.6</v>
      </c>
      <c r="AJ148" s="67">
        <f t="shared" si="96"/>
        <v>226.6</v>
      </c>
      <c r="AK148" s="67"/>
      <c r="AL148" s="67"/>
      <c r="AM148" s="67"/>
      <c r="AN148" s="67">
        <f t="shared" si="93"/>
        <v>679.8</v>
      </c>
    </row>
    <row r="149" spans="2:40" outlineLevel="2" x14ac:dyDescent="0.25">
      <c r="B149" s="63" t="s">
        <v>225</v>
      </c>
      <c r="C149" s="64">
        <v>890983873</v>
      </c>
      <c r="D149" s="65" t="s">
        <v>241</v>
      </c>
      <c r="E149" s="66">
        <v>1</v>
      </c>
      <c r="F149" s="66">
        <v>0</v>
      </c>
      <c r="G149" s="66">
        <v>0</v>
      </c>
      <c r="H149" s="66">
        <f t="shared" si="98"/>
        <v>0</v>
      </c>
      <c r="I149" s="66">
        <v>0</v>
      </c>
      <c r="J149" s="66">
        <v>0</v>
      </c>
      <c r="K149" s="66">
        <v>0</v>
      </c>
      <c r="L149" s="66">
        <v>0</v>
      </c>
      <c r="M149" s="66">
        <v>0</v>
      </c>
      <c r="N149" s="66">
        <v>229131</v>
      </c>
      <c r="O149" s="66">
        <v>0</v>
      </c>
      <c r="P149" s="66">
        <v>0</v>
      </c>
      <c r="Q149" s="67">
        <f t="shared" si="97"/>
        <v>229131</v>
      </c>
      <c r="S149" s="68">
        <f t="shared" si="88"/>
        <v>0</v>
      </c>
      <c r="T149" s="67">
        <f t="shared" si="88"/>
        <v>0</v>
      </c>
      <c r="U149" s="67">
        <f t="shared" si="88"/>
        <v>0</v>
      </c>
      <c r="V149" s="67">
        <f t="shared" si="88"/>
        <v>0</v>
      </c>
      <c r="W149" s="67">
        <f t="shared" si="88"/>
        <v>0</v>
      </c>
      <c r="X149" s="67">
        <f t="shared" si="89"/>
        <v>0</v>
      </c>
      <c r="Y149" s="67">
        <f t="shared" si="90"/>
        <v>68739.3</v>
      </c>
      <c r="Z149" s="67">
        <f t="shared" si="91"/>
        <v>68739.3</v>
      </c>
      <c r="AA149" s="62"/>
      <c r="AB149" s="67">
        <f t="shared" si="94"/>
        <v>0</v>
      </c>
      <c r="AC149" s="67">
        <f t="shared" si="94"/>
        <v>0</v>
      </c>
      <c r="AD149" s="67">
        <f t="shared" si="94"/>
        <v>0</v>
      </c>
      <c r="AE149" s="67">
        <f t="shared" si="94"/>
        <v>0</v>
      </c>
      <c r="AF149" s="67">
        <f t="shared" si="92"/>
        <v>0</v>
      </c>
      <c r="AG149" s="67">
        <f t="shared" si="92"/>
        <v>0</v>
      </c>
      <c r="AH149" s="67">
        <f t="shared" si="95"/>
        <v>22913.100000000002</v>
      </c>
      <c r="AI149" s="67">
        <f t="shared" si="96"/>
        <v>22913.100000000002</v>
      </c>
      <c r="AJ149" s="67">
        <f t="shared" si="96"/>
        <v>22913.100000000002</v>
      </c>
      <c r="AK149" s="67"/>
      <c r="AL149" s="67"/>
      <c r="AM149" s="67"/>
      <c r="AN149" s="67">
        <f t="shared" si="93"/>
        <v>68739.3</v>
      </c>
    </row>
    <row r="150" spans="2:40" outlineLevel="2" x14ac:dyDescent="0.25">
      <c r="B150" s="63" t="s">
        <v>225</v>
      </c>
      <c r="C150" s="64">
        <v>890983938</v>
      </c>
      <c r="D150" s="65" t="s">
        <v>242</v>
      </c>
      <c r="E150" s="66">
        <v>1</v>
      </c>
      <c r="F150" s="66">
        <v>0</v>
      </c>
      <c r="G150" s="66">
        <v>0</v>
      </c>
      <c r="H150" s="66">
        <f t="shared" si="98"/>
        <v>0</v>
      </c>
      <c r="I150" s="66">
        <v>0</v>
      </c>
      <c r="J150" s="66">
        <v>0</v>
      </c>
      <c r="K150" s="66">
        <v>0</v>
      </c>
      <c r="L150" s="66">
        <v>0</v>
      </c>
      <c r="M150" s="66">
        <v>0</v>
      </c>
      <c r="N150" s="66">
        <v>131386</v>
      </c>
      <c r="O150" s="66">
        <v>0</v>
      </c>
      <c r="P150" s="66">
        <v>0</v>
      </c>
      <c r="Q150" s="67">
        <f t="shared" si="97"/>
        <v>131386</v>
      </c>
      <c r="S150" s="68">
        <f t="shared" si="88"/>
        <v>0</v>
      </c>
      <c r="T150" s="67">
        <f t="shared" si="88"/>
        <v>0</v>
      </c>
      <c r="U150" s="67">
        <f t="shared" si="88"/>
        <v>0</v>
      </c>
      <c r="V150" s="67">
        <f t="shared" si="88"/>
        <v>0</v>
      </c>
      <c r="W150" s="67">
        <f t="shared" si="88"/>
        <v>0</v>
      </c>
      <c r="X150" s="67">
        <f t="shared" si="89"/>
        <v>0</v>
      </c>
      <c r="Y150" s="67">
        <f t="shared" si="90"/>
        <v>39415.799999999996</v>
      </c>
      <c r="Z150" s="67">
        <f t="shared" si="91"/>
        <v>39415.799999999996</v>
      </c>
      <c r="AA150" s="62"/>
      <c r="AB150" s="67">
        <f t="shared" si="94"/>
        <v>0</v>
      </c>
      <c r="AC150" s="67">
        <f t="shared" si="94"/>
        <v>0</v>
      </c>
      <c r="AD150" s="67">
        <f t="shared" si="94"/>
        <v>0</v>
      </c>
      <c r="AE150" s="67">
        <f t="shared" si="94"/>
        <v>0</v>
      </c>
      <c r="AF150" s="67">
        <f t="shared" si="94"/>
        <v>0</v>
      </c>
      <c r="AG150" s="67">
        <f t="shared" si="94"/>
        <v>0</v>
      </c>
      <c r="AH150" s="67">
        <f t="shared" si="95"/>
        <v>13138.599999999999</v>
      </c>
      <c r="AI150" s="67">
        <f t="shared" si="96"/>
        <v>13138.599999999999</v>
      </c>
      <c r="AJ150" s="67">
        <f t="shared" si="96"/>
        <v>13138.599999999999</v>
      </c>
      <c r="AK150" s="67"/>
      <c r="AL150" s="67"/>
      <c r="AM150" s="67"/>
      <c r="AN150" s="67">
        <f t="shared" si="93"/>
        <v>39415.799999999996</v>
      </c>
    </row>
    <row r="151" spans="2:40" outlineLevel="2" x14ac:dyDescent="0.25">
      <c r="B151" s="63" t="s">
        <v>225</v>
      </c>
      <c r="C151" s="64">
        <v>891180009</v>
      </c>
      <c r="D151" s="65" t="s">
        <v>243</v>
      </c>
      <c r="E151" s="66">
        <v>2</v>
      </c>
      <c r="F151" s="66">
        <v>0</v>
      </c>
      <c r="G151" s="66">
        <v>0</v>
      </c>
      <c r="H151" s="66">
        <f t="shared" si="98"/>
        <v>0</v>
      </c>
      <c r="I151" s="66">
        <v>0</v>
      </c>
      <c r="J151" s="66">
        <v>0</v>
      </c>
      <c r="K151" s="66">
        <v>0</v>
      </c>
      <c r="L151" s="66">
        <v>0</v>
      </c>
      <c r="M151" s="66">
        <v>0</v>
      </c>
      <c r="N151" s="66">
        <v>163378</v>
      </c>
      <c r="O151" s="66">
        <v>0</v>
      </c>
      <c r="P151" s="66">
        <v>0</v>
      </c>
      <c r="Q151" s="67">
        <f t="shared" si="97"/>
        <v>163378</v>
      </c>
      <c r="S151" s="68">
        <f t="shared" si="88"/>
        <v>0</v>
      </c>
      <c r="T151" s="67">
        <f t="shared" si="88"/>
        <v>0</v>
      </c>
      <c r="U151" s="67">
        <f t="shared" si="88"/>
        <v>0</v>
      </c>
      <c r="V151" s="67">
        <f t="shared" si="88"/>
        <v>0</v>
      </c>
      <c r="W151" s="67">
        <f t="shared" si="88"/>
        <v>0</v>
      </c>
      <c r="X151" s="67">
        <f t="shared" si="89"/>
        <v>0</v>
      </c>
      <c r="Y151" s="67">
        <f t="shared" si="90"/>
        <v>49013.4</v>
      </c>
      <c r="Z151" s="67">
        <f t="shared" si="91"/>
        <v>49013.4</v>
      </c>
      <c r="AA151" s="62"/>
      <c r="AB151" s="67">
        <f t="shared" si="94"/>
        <v>0</v>
      </c>
      <c r="AC151" s="67">
        <f t="shared" si="94"/>
        <v>0</v>
      </c>
      <c r="AD151" s="67">
        <f t="shared" si="94"/>
        <v>0</v>
      </c>
      <c r="AE151" s="67">
        <f t="shared" si="94"/>
        <v>0</v>
      </c>
      <c r="AF151" s="67">
        <f t="shared" si="94"/>
        <v>0</v>
      </c>
      <c r="AG151" s="67">
        <f t="shared" si="94"/>
        <v>0</v>
      </c>
      <c r="AH151" s="67">
        <f t="shared" si="95"/>
        <v>16337.800000000001</v>
      </c>
      <c r="AI151" s="67">
        <f t="shared" ref="AI151:AJ152" si="99">+AH151</f>
        <v>16337.800000000001</v>
      </c>
      <c r="AJ151" s="67">
        <f t="shared" si="99"/>
        <v>16337.800000000001</v>
      </c>
      <c r="AK151" s="67"/>
      <c r="AL151" s="67"/>
      <c r="AM151" s="67"/>
      <c r="AN151" s="67">
        <f t="shared" si="93"/>
        <v>49013.4</v>
      </c>
    </row>
    <row r="152" spans="2:40" ht="12" outlineLevel="2" thickBot="1" x14ac:dyDescent="0.3">
      <c r="B152" s="63" t="s">
        <v>225</v>
      </c>
      <c r="C152" s="64">
        <v>891180021</v>
      </c>
      <c r="D152" s="65" t="s">
        <v>244</v>
      </c>
      <c r="E152" s="66">
        <v>1</v>
      </c>
      <c r="F152" s="66">
        <v>0</v>
      </c>
      <c r="G152" s="66">
        <v>0</v>
      </c>
      <c r="H152" s="66">
        <f t="shared" si="98"/>
        <v>0</v>
      </c>
      <c r="I152" s="66">
        <v>0</v>
      </c>
      <c r="J152" s="66">
        <v>0</v>
      </c>
      <c r="K152" s="66">
        <v>0</v>
      </c>
      <c r="L152" s="66">
        <v>0</v>
      </c>
      <c r="M152" s="66">
        <v>0</v>
      </c>
      <c r="N152" s="66">
        <v>53945</v>
      </c>
      <c r="O152" s="66">
        <v>0</v>
      </c>
      <c r="P152" s="66">
        <v>0</v>
      </c>
      <c r="Q152" s="67">
        <f t="shared" si="97"/>
        <v>53945</v>
      </c>
      <c r="S152" s="68">
        <f t="shared" si="88"/>
        <v>0</v>
      </c>
      <c r="T152" s="67">
        <f t="shared" si="88"/>
        <v>0</v>
      </c>
      <c r="U152" s="67">
        <f t="shared" si="88"/>
        <v>0</v>
      </c>
      <c r="V152" s="67">
        <f t="shared" si="88"/>
        <v>0</v>
      </c>
      <c r="W152" s="67">
        <f t="shared" si="88"/>
        <v>0</v>
      </c>
      <c r="X152" s="67">
        <f t="shared" si="89"/>
        <v>0</v>
      </c>
      <c r="Y152" s="67">
        <f t="shared" si="90"/>
        <v>16183.5</v>
      </c>
      <c r="Z152" s="67">
        <f t="shared" si="91"/>
        <v>16183.5</v>
      </c>
      <c r="AA152" s="62"/>
      <c r="AB152" s="67">
        <f t="shared" si="94"/>
        <v>0</v>
      </c>
      <c r="AC152" s="67">
        <f t="shared" si="94"/>
        <v>0</v>
      </c>
      <c r="AD152" s="67">
        <f t="shared" si="94"/>
        <v>0</v>
      </c>
      <c r="AE152" s="67">
        <f t="shared" si="94"/>
        <v>0</v>
      </c>
      <c r="AF152" s="67">
        <f t="shared" si="94"/>
        <v>0</v>
      </c>
      <c r="AG152" s="67">
        <f t="shared" si="94"/>
        <v>0</v>
      </c>
      <c r="AH152" s="67">
        <f t="shared" si="95"/>
        <v>5394.5</v>
      </c>
      <c r="AI152" s="67">
        <f t="shared" si="99"/>
        <v>5394.5</v>
      </c>
      <c r="AJ152" s="67">
        <f t="shared" si="99"/>
        <v>5394.5</v>
      </c>
      <c r="AK152" s="67"/>
      <c r="AL152" s="67"/>
      <c r="AM152" s="67"/>
      <c r="AN152" s="67">
        <f t="shared" si="93"/>
        <v>16183.5</v>
      </c>
    </row>
    <row r="153" spans="2:40" ht="12" outlineLevel="1" thickBot="1" x14ac:dyDescent="0.3">
      <c r="B153" s="75" t="s">
        <v>245</v>
      </c>
      <c r="C153" s="76"/>
      <c r="D153" s="76"/>
      <c r="E153" s="77">
        <f t="shared" ref="E153:Z153" si="100">SUBTOTAL(9,E134:E152)</f>
        <v>26</v>
      </c>
      <c r="F153" s="77">
        <f t="shared" si="100"/>
        <v>0</v>
      </c>
      <c r="G153" s="77">
        <f t="shared" si="100"/>
        <v>0</v>
      </c>
      <c r="H153" s="77">
        <f t="shared" si="100"/>
        <v>0</v>
      </c>
      <c r="I153" s="77">
        <f t="shared" si="100"/>
        <v>0</v>
      </c>
      <c r="J153" s="77">
        <f t="shared" si="100"/>
        <v>0</v>
      </c>
      <c r="K153" s="77">
        <f t="shared" si="100"/>
        <v>0</v>
      </c>
      <c r="L153" s="77">
        <f t="shared" si="100"/>
        <v>128622</v>
      </c>
      <c r="M153" s="77">
        <f t="shared" si="100"/>
        <v>0</v>
      </c>
      <c r="N153" s="77">
        <f t="shared" si="100"/>
        <v>24943064</v>
      </c>
      <c r="O153" s="77">
        <f t="shared" si="100"/>
        <v>0</v>
      </c>
      <c r="P153" s="77">
        <f t="shared" si="100"/>
        <v>0</v>
      </c>
      <c r="Q153" s="78">
        <f t="shared" si="100"/>
        <v>25071686</v>
      </c>
      <c r="S153" s="79">
        <f t="shared" si="100"/>
        <v>0</v>
      </c>
      <c r="T153" s="78">
        <f t="shared" si="100"/>
        <v>0</v>
      </c>
      <c r="U153" s="78">
        <f t="shared" si="100"/>
        <v>0</v>
      </c>
      <c r="V153" s="78">
        <f t="shared" si="100"/>
        <v>0</v>
      </c>
      <c r="W153" s="78">
        <f t="shared" si="100"/>
        <v>38586.6</v>
      </c>
      <c r="X153" s="78">
        <f t="shared" si="100"/>
        <v>0</v>
      </c>
      <c r="Y153" s="78">
        <f t="shared" si="100"/>
        <v>7509929.8200000003</v>
      </c>
      <c r="Z153" s="78">
        <f t="shared" si="100"/>
        <v>7548516.4199999999</v>
      </c>
      <c r="AA153" s="62"/>
      <c r="AB153" s="78">
        <f t="shared" ref="AB153:AN153" si="101">SUBTOTAL(9,AB134:AB152)</f>
        <v>0</v>
      </c>
      <c r="AC153" s="78">
        <f t="shared" si="101"/>
        <v>0</v>
      </c>
      <c r="AD153" s="78">
        <f t="shared" si="101"/>
        <v>0</v>
      </c>
      <c r="AE153" s="78">
        <f t="shared" si="101"/>
        <v>0</v>
      </c>
      <c r="AF153" s="78">
        <f t="shared" si="101"/>
        <v>38586.6</v>
      </c>
      <c r="AG153" s="78">
        <f t="shared" si="101"/>
        <v>0</v>
      </c>
      <c r="AH153" s="78">
        <f t="shared" si="101"/>
        <v>2503309.94</v>
      </c>
      <c r="AI153" s="78">
        <f t="shared" si="101"/>
        <v>2503309.94</v>
      </c>
      <c r="AJ153" s="78">
        <f t="shared" si="101"/>
        <v>2503309.94</v>
      </c>
      <c r="AK153" s="78">
        <f t="shared" si="101"/>
        <v>0</v>
      </c>
      <c r="AL153" s="78">
        <f t="shared" si="101"/>
        <v>0</v>
      </c>
      <c r="AM153" s="78">
        <f t="shared" si="101"/>
        <v>0</v>
      </c>
      <c r="AN153" s="78">
        <f t="shared" si="101"/>
        <v>7548516.4199999999</v>
      </c>
    </row>
    <row r="154" spans="2:40" ht="12" outlineLevel="2" thickBot="1" x14ac:dyDescent="0.3">
      <c r="B154" s="63" t="s">
        <v>246</v>
      </c>
      <c r="C154" s="64">
        <v>800246953</v>
      </c>
      <c r="D154" s="65" t="s">
        <v>170</v>
      </c>
      <c r="E154" s="66">
        <v>36</v>
      </c>
      <c r="F154" s="66">
        <v>0</v>
      </c>
      <c r="G154" s="66">
        <v>0</v>
      </c>
      <c r="H154" s="66">
        <f t="shared" si="98"/>
        <v>0</v>
      </c>
      <c r="I154" s="66">
        <v>0</v>
      </c>
      <c r="J154" s="66">
        <v>0</v>
      </c>
      <c r="K154" s="66">
        <v>0</v>
      </c>
      <c r="L154" s="66">
        <v>0</v>
      </c>
      <c r="M154" s="66">
        <v>0</v>
      </c>
      <c r="N154" s="66">
        <v>60931099</v>
      </c>
      <c r="O154" s="66">
        <v>0</v>
      </c>
      <c r="P154" s="66">
        <v>0</v>
      </c>
      <c r="Q154" s="67">
        <f t="shared" si="97"/>
        <v>60931099</v>
      </c>
      <c r="S154" s="68">
        <f>+H154*90%</f>
        <v>0</v>
      </c>
      <c r="T154" s="67">
        <f t="shared" ref="T154:Y154" si="102">+I154*90%</f>
        <v>0</v>
      </c>
      <c r="U154" s="67">
        <f t="shared" si="102"/>
        <v>0</v>
      </c>
      <c r="V154" s="67">
        <f t="shared" si="102"/>
        <v>0</v>
      </c>
      <c r="W154" s="67">
        <f t="shared" si="102"/>
        <v>0</v>
      </c>
      <c r="X154" s="67">
        <f t="shared" si="102"/>
        <v>0</v>
      </c>
      <c r="Y154" s="67">
        <f t="shared" si="102"/>
        <v>54837989.100000001</v>
      </c>
      <c r="Z154" s="67">
        <f t="shared" ref="Z154" si="103">+SUM(S154:Y154)</f>
        <v>54837989.100000001</v>
      </c>
      <c r="AA154" s="62"/>
      <c r="AB154" s="67">
        <f>+S154</f>
        <v>0</v>
      </c>
      <c r="AC154" s="67">
        <f>+T154</f>
        <v>0</v>
      </c>
      <c r="AD154" s="67">
        <f>+U154</f>
        <v>0</v>
      </c>
      <c r="AE154" s="67">
        <f>+V154</f>
        <v>0</v>
      </c>
      <c r="AF154" s="67">
        <f t="shared" ref="AF154:AG154" si="104">+W154</f>
        <v>0</v>
      </c>
      <c r="AG154" s="67">
        <f t="shared" si="104"/>
        <v>0</v>
      </c>
      <c r="AH154" s="67">
        <f>+Y154/3</f>
        <v>18279329.699999999</v>
      </c>
      <c r="AI154" s="67">
        <f>+AH154</f>
        <v>18279329.699999999</v>
      </c>
      <c r="AJ154" s="67">
        <f>+AI154</f>
        <v>18279329.699999999</v>
      </c>
      <c r="AK154" s="67"/>
      <c r="AL154" s="67"/>
      <c r="AM154" s="67"/>
      <c r="AN154" s="67">
        <f>+SUM(AB154:AM154)</f>
        <v>54837989.099999994</v>
      </c>
    </row>
    <row r="155" spans="2:40" ht="12" outlineLevel="1" thickBot="1" x14ac:dyDescent="0.3">
      <c r="B155" s="75" t="s">
        <v>247</v>
      </c>
      <c r="C155" s="76"/>
      <c r="D155" s="76"/>
      <c r="E155" s="77">
        <f t="shared" ref="E155:Z155" si="105">SUBTOTAL(9,E154:E154)</f>
        <v>36</v>
      </c>
      <c r="F155" s="77">
        <f t="shared" si="105"/>
        <v>0</v>
      </c>
      <c r="G155" s="77">
        <f t="shared" si="105"/>
        <v>0</v>
      </c>
      <c r="H155" s="77">
        <f t="shared" si="105"/>
        <v>0</v>
      </c>
      <c r="I155" s="77">
        <f t="shared" si="105"/>
        <v>0</v>
      </c>
      <c r="J155" s="77">
        <f t="shared" si="105"/>
        <v>0</v>
      </c>
      <c r="K155" s="77">
        <f t="shared" si="105"/>
        <v>0</v>
      </c>
      <c r="L155" s="77">
        <f t="shared" si="105"/>
        <v>0</v>
      </c>
      <c r="M155" s="77">
        <f t="shared" si="105"/>
        <v>0</v>
      </c>
      <c r="N155" s="77">
        <f t="shared" si="105"/>
        <v>60931099</v>
      </c>
      <c r="O155" s="77">
        <f t="shared" si="105"/>
        <v>0</v>
      </c>
      <c r="P155" s="77">
        <f t="shared" si="105"/>
        <v>0</v>
      </c>
      <c r="Q155" s="78">
        <f t="shared" si="105"/>
        <v>60931099</v>
      </c>
      <c r="S155" s="79">
        <f t="shared" si="105"/>
        <v>0</v>
      </c>
      <c r="T155" s="78">
        <f t="shared" si="105"/>
        <v>0</v>
      </c>
      <c r="U155" s="78">
        <f t="shared" si="105"/>
        <v>0</v>
      </c>
      <c r="V155" s="78">
        <f t="shared" si="105"/>
        <v>0</v>
      </c>
      <c r="W155" s="78">
        <f t="shared" si="105"/>
        <v>0</v>
      </c>
      <c r="X155" s="78">
        <f t="shared" si="105"/>
        <v>0</v>
      </c>
      <c r="Y155" s="78">
        <f t="shared" si="105"/>
        <v>54837989.100000001</v>
      </c>
      <c r="Z155" s="78">
        <f t="shared" si="105"/>
        <v>54837989.100000001</v>
      </c>
      <c r="AA155" s="62"/>
      <c r="AB155" s="78">
        <f t="shared" ref="AB155:AN155" si="106">SUBTOTAL(9,AB154:AB154)</f>
        <v>0</v>
      </c>
      <c r="AC155" s="78">
        <f t="shared" si="106"/>
        <v>0</v>
      </c>
      <c r="AD155" s="78">
        <f t="shared" si="106"/>
        <v>0</v>
      </c>
      <c r="AE155" s="78">
        <f t="shared" si="106"/>
        <v>0</v>
      </c>
      <c r="AF155" s="78">
        <f t="shared" si="106"/>
        <v>0</v>
      </c>
      <c r="AG155" s="78">
        <f t="shared" si="106"/>
        <v>0</v>
      </c>
      <c r="AH155" s="78">
        <f t="shared" si="106"/>
        <v>18279329.699999999</v>
      </c>
      <c r="AI155" s="78">
        <f t="shared" si="106"/>
        <v>18279329.699999999</v>
      </c>
      <c r="AJ155" s="78">
        <f t="shared" si="106"/>
        <v>18279329.699999999</v>
      </c>
      <c r="AK155" s="78">
        <f t="shared" si="106"/>
        <v>0</v>
      </c>
      <c r="AL155" s="78">
        <f t="shared" si="106"/>
        <v>0</v>
      </c>
      <c r="AM155" s="78">
        <f t="shared" si="106"/>
        <v>0</v>
      </c>
      <c r="AN155" s="78">
        <f t="shared" si="106"/>
        <v>54837989.099999994</v>
      </c>
    </row>
    <row r="156" spans="2:40" ht="12" outlineLevel="2" thickBot="1" x14ac:dyDescent="0.3">
      <c r="B156" s="63" t="s">
        <v>248</v>
      </c>
      <c r="C156" s="64">
        <v>800246953</v>
      </c>
      <c r="D156" s="65" t="s">
        <v>170</v>
      </c>
      <c r="E156" s="66">
        <v>85</v>
      </c>
      <c r="F156" s="66">
        <v>0</v>
      </c>
      <c r="G156" s="66">
        <v>0</v>
      </c>
      <c r="H156" s="66">
        <f t="shared" si="98"/>
        <v>0</v>
      </c>
      <c r="I156" s="66">
        <v>0</v>
      </c>
      <c r="J156" s="66">
        <v>0</v>
      </c>
      <c r="K156" s="66">
        <v>0</v>
      </c>
      <c r="L156" s="66">
        <v>0</v>
      </c>
      <c r="M156" s="66">
        <v>0</v>
      </c>
      <c r="N156" s="66">
        <v>169679500</v>
      </c>
      <c r="O156" s="66">
        <v>0</v>
      </c>
      <c r="P156" s="66">
        <v>0</v>
      </c>
      <c r="Q156" s="67">
        <f t="shared" si="97"/>
        <v>169679500</v>
      </c>
      <c r="S156" s="68">
        <f>+H156*90%</f>
        <v>0</v>
      </c>
      <c r="T156" s="67">
        <f t="shared" ref="T156:Y156" si="107">+I156*90%</f>
        <v>0</v>
      </c>
      <c r="U156" s="67">
        <f t="shared" si="107"/>
        <v>0</v>
      </c>
      <c r="V156" s="67">
        <f t="shared" si="107"/>
        <v>0</v>
      </c>
      <c r="W156" s="67">
        <f t="shared" si="107"/>
        <v>0</v>
      </c>
      <c r="X156" s="67">
        <f t="shared" si="107"/>
        <v>0</v>
      </c>
      <c r="Y156" s="67">
        <f t="shared" si="107"/>
        <v>152711550</v>
      </c>
      <c r="Z156" s="67">
        <f t="shared" ref="Z156" si="108">+SUM(S156:Y156)</f>
        <v>152711550</v>
      </c>
      <c r="AA156" s="62"/>
      <c r="AB156" s="67">
        <f>+S156</f>
        <v>0</v>
      </c>
      <c r="AC156" s="67">
        <f>+T156</f>
        <v>0</v>
      </c>
      <c r="AD156" s="67">
        <f>+U156</f>
        <v>0</v>
      </c>
      <c r="AE156" s="67">
        <f>+V156</f>
        <v>0</v>
      </c>
      <c r="AF156" s="67">
        <f t="shared" ref="AF156:AG156" si="109">+W156</f>
        <v>0</v>
      </c>
      <c r="AG156" s="67">
        <f t="shared" si="109"/>
        <v>0</v>
      </c>
      <c r="AH156" s="67">
        <f>+Y156/3</f>
        <v>50903850</v>
      </c>
      <c r="AI156" s="67">
        <f>+AH156</f>
        <v>50903850</v>
      </c>
      <c r="AJ156" s="67">
        <f>+AI156</f>
        <v>50903850</v>
      </c>
      <c r="AK156" s="67"/>
      <c r="AL156" s="67"/>
      <c r="AM156" s="67"/>
      <c r="AN156" s="67">
        <f>+SUM(AB156:AM156)</f>
        <v>152711550</v>
      </c>
    </row>
    <row r="157" spans="2:40" ht="12" outlineLevel="1" thickBot="1" x14ac:dyDescent="0.3">
      <c r="B157" s="75" t="s">
        <v>249</v>
      </c>
      <c r="C157" s="76"/>
      <c r="D157" s="76"/>
      <c r="E157" s="77">
        <f t="shared" ref="E157:Z157" si="110">SUBTOTAL(9,E156:E156)</f>
        <v>85</v>
      </c>
      <c r="F157" s="77">
        <f t="shared" si="110"/>
        <v>0</v>
      </c>
      <c r="G157" s="77">
        <f t="shared" si="110"/>
        <v>0</v>
      </c>
      <c r="H157" s="77">
        <f t="shared" si="110"/>
        <v>0</v>
      </c>
      <c r="I157" s="77">
        <f t="shared" si="110"/>
        <v>0</v>
      </c>
      <c r="J157" s="77">
        <f t="shared" si="110"/>
        <v>0</v>
      </c>
      <c r="K157" s="77">
        <f t="shared" si="110"/>
        <v>0</v>
      </c>
      <c r="L157" s="77">
        <f t="shared" si="110"/>
        <v>0</v>
      </c>
      <c r="M157" s="77">
        <f t="shared" si="110"/>
        <v>0</v>
      </c>
      <c r="N157" s="77">
        <f t="shared" si="110"/>
        <v>169679500</v>
      </c>
      <c r="O157" s="77">
        <f t="shared" si="110"/>
        <v>0</v>
      </c>
      <c r="P157" s="77">
        <f t="shared" si="110"/>
        <v>0</v>
      </c>
      <c r="Q157" s="78">
        <f t="shared" si="110"/>
        <v>169679500</v>
      </c>
      <c r="S157" s="79">
        <f t="shared" si="110"/>
        <v>0</v>
      </c>
      <c r="T157" s="78">
        <f t="shared" si="110"/>
        <v>0</v>
      </c>
      <c r="U157" s="78">
        <f t="shared" si="110"/>
        <v>0</v>
      </c>
      <c r="V157" s="78">
        <f t="shared" si="110"/>
        <v>0</v>
      </c>
      <c r="W157" s="78">
        <f t="shared" si="110"/>
        <v>0</v>
      </c>
      <c r="X157" s="78">
        <f t="shared" si="110"/>
        <v>0</v>
      </c>
      <c r="Y157" s="78">
        <f t="shared" si="110"/>
        <v>152711550</v>
      </c>
      <c r="Z157" s="78">
        <f t="shared" si="110"/>
        <v>152711550</v>
      </c>
      <c r="AA157" s="62"/>
      <c r="AB157" s="78">
        <f t="shared" ref="AB157:AN157" si="111">SUBTOTAL(9,AB156:AB156)</f>
        <v>0</v>
      </c>
      <c r="AC157" s="78">
        <f t="shared" si="111"/>
        <v>0</v>
      </c>
      <c r="AD157" s="78">
        <f t="shared" si="111"/>
        <v>0</v>
      </c>
      <c r="AE157" s="78">
        <f t="shared" si="111"/>
        <v>0</v>
      </c>
      <c r="AF157" s="78">
        <f t="shared" si="111"/>
        <v>0</v>
      </c>
      <c r="AG157" s="78">
        <f t="shared" si="111"/>
        <v>0</v>
      </c>
      <c r="AH157" s="78">
        <f t="shared" si="111"/>
        <v>50903850</v>
      </c>
      <c r="AI157" s="78">
        <f t="shared" si="111"/>
        <v>50903850</v>
      </c>
      <c r="AJ157" s="78">
        <f t="shared" si="111"/>
        <v>50903850</v>
      </c>
      <c r="AK157" s="78">
        <f t="shared" si="111"/>
        <v>0</v>
      </c>
      <c r="AL157" s="78">
        <f t="shared" si="111"/>
        <v>0</v>
      </c>
      <c r="AM157" s="78">
        <f t="shared" si="111"/>
        <v>0</v>
      </c>
      <c r="AN157" s="78">
        <f t="shared" si="111"/>
        <v>152711550</v>
      </c>
    </row>
    <row r="158" spans="2:40" ht="12" outlineLevel="2" thickBot="1" x14ac:dyDescent="0.3">
      <c r="B158" s="63" t="s">
        <v>250</v>
      </c>
      <c r="C158" s="64">
        <v>800246953</v>
      </c>
      <c r="D158" s="65" t="s">
        <v>170</v>
      </c>
      <c r="E158" s="66">
        <v>5815</v>
      </c>
      <c r="F158" s="66">
        <v>0</v>
      </c>
      <c r="G158" s="66">
        <v>1340055285</v>
      </c>
      <c r="H158" s="66">
        <f t="shared" si="98"/>
        <v>1340055285</v>
      </c>
      <c r="I158" s="66">
        <v>1102260882</v>
      </c>
      <c r="J158" s="66">
        <v>872813881</v>
      </c>
      <c r="K158" s="66">
        <v>1125300550</v>
      </c>
      <c r="L158" s="66">
        <v>814145566.75</v>
      </c>
      <c r="M158" s="66">
        <v>1175964728</v>
      </c>
      <c r="N158" s="66">
        <v>414424837</v>
      </c>
      <c r="O158" s="66">
        <v>0</v>
      </c>
      <c r="P158" s="66">
        <v>0</v>
      </c>
      <c r="Q158" s="67">
        <f t="shared" si="97"/>
        <v>6844965729.75</v>
      </c>
      <c r="S158" s="87">
        <v>0</v>
      </c>
      <c r="T158" s="87">
        <v>0</v>
      </c>
      <c r="U158" s="87">
        <v>0</v>
      </c>
      <c r="V158" s="87">
        <v>0</v>
      </c>
      <c r="W158" s="87">
        <v>0</v>
      </c>
      <c r="X158" s="87">
        <v>0</v>
      </c>
      <c r="Y158" s="87">
        <v>0</v>
      </c>
      <c r="Z158" s="67">
        <f t="shared" ref="Z158" si="112">+SUM(S158:Y158)</f>
        <v>0</v>
      </c>
      <c r="AA158" s="62"/>
      <c r="AB158" s="67">
        <f>+S158</f>
        <v>0</v>
      </c>
      <c r="AC158" s="67">
        <f>+T158</f>
        <v>0</v>
      </c>
      <c r="AD158" s="67">
        <f>+U158</f>
        <v>0</v>
      </c>
      <c r="AE158" s="67">
        <f>+V158</f>
        <v>0</v>
      </c>
      <c r="AF158" s="67">
        <f t="shared" ref="AF158:AG158" si="113">+W158</f>
        <v>0</v>
      </c>
      <c r="AG158" s="67">
        <f t="shared" si="113"/>
        <v>0</v>
      </c>
      <c r="AH158" s="67">
        <f>+Y158/3</f>
        <v>0</v>
      </c>
      <c r="AI158" s="67">
        <f>+AH158</f>
        <v>0</v>
      </c>
      <c r="AJ158" s="67">
        <f>+AI158</f>
        <v>0</v>
      </c>
      <c r="AK158" s="67"/>
      <c r="AL158" s="67"/>
      <c r="AM158" s="67"/>
      <c r="AN158" s="67">
        <f>+SUM(AB158:AM158)</f>
        <v>0</v>
      </c>
    </row>
    <row r="159" spans="2:40" ht="12" outlineLevel="1" thickBot="1" x14ac:dyDescent="0.3">
      <c r="B159" s="75" t="s">
        <v>251</v>
      </c>
      <c r="C159" s="76"/>
      <c r="D159" s="76"/>
      <c r="E159" s="77">
        <f t="shared" ref="E159:Z159" si="114">SUBTOTAL(9,E158:E158)</f>
        <v>5815</v>
      </c>
      <c r="F159" s="77">
        <f t="shared" si="114"/>
        <v>0</v>
      </c>
      <c r="G159" s="77">
        <f t="shared" si="114"/>
        <v>1340055285</v>
      </c>
      <c r="H159" s="77">
        <f t="shared" si="114"/>
        <v>1340055285</v>
      </c>
      <c r="I159" s="77">
        <f t="shared" si="114"/>
        <v>1102260882</v>
      </c>
      <c r="J159" s="77">
        <f t="shared" si="114"/>
        <v>872813881</v>
      </c>
      <c r="K159" s="77">
        <f t="shared" si="114"/>
        <v>1125300550</v>
      </c>
      <c r="L159" s="77">
        <f t="shared" si="114"/>
        <v>814145566.75</v>
      </c>
      <c r="M159" s="77">
        <f t="shared" si="114"/>
        <v>1175964728</v>
      </c>
      <c r="N159" s="77">
        <f t="shared" si="114"/>
        <v>414424837</v>
      </c>
      <c r="O159" s="77">
        <f t="shared" si="114"/>
        <v>0</v>
      </c>
      <c r="P159" s="77">
        <f t="shared" si="114"/>
        <v>0</v>
      </c>
      <c r="Q159" s="78">
        <f t="shared" si="114"/>
        <v>6844965729.75</v>
      </c>
      <c r="S159" s="79">
        <f t="shared" si="114"/>
        <v>0</v>
      </c>
      <c r="T159" s="78">
        <f t="shared" si="114"/>
        <v>0</v>
      </c>
      <c r="U159" s="78">
        <f t="shared" si="114"/>
        <v>0</v>
      </c>
      <c r="V159" s="78">
        <f t="shared" si="114"/>
        <v>0</v>
      </c>
      <c r="W159" s="78">
        <f t="shared" si="114"/>
        <v>0</v>
      </c>
      <c r="X159" s="78">
        <f t="shared" si="114"/>
        <v>0</v>
      </c>
      <c r="Y159" s="78">
        <f t="shared" si="114"/>
        <v>0</v>
      </c>
      <c r="Z159" s="78">
        <f t="shared" si="114"/>
        <v>0</v>
      </c>
      <c r="AA159" s="62"/>
      <c r="AB159" s="78">
        <f t="shared" ref="AB159:AN159" si="115">SUBTOTAL(9,AB158:AB158)</f>
        <v>0</v>
      </c>
      <c r="AC159" s="78">
        <f t="shared" si="115"/>
        <v>0</v>
      </c>
      <c r="AD159" s="78">
        <f t="shared" si="115"/>
        <v>0</v>
      </c>
      <c r="AE159" s="78">
        <f t="shared" si="115"/>
        <v>0</v>
      </c>
      <c r="AF159" s="78">
        <f t="shared" si="115"/>
        <v>0</v>
      </c>
      <c r="AG159" s="78">
        <f t="shared" si="115"/>
        <v>0</v>
      </c>
      <c r="AH159" s="78">
        <f t="shared" si="115"/>
        <v>0</v>
      </c>
      <c r="AI159" s="78">
        <f t="shared" si="115"/>
        <v>0</v>
      </c>
      <c r="AJ159" s="78">
        <f t="shared" si="115"/>
        <v>0</v>
      </c>
      <c r="AK159" s="78">
        <f t="shared" si="115"/>
        <v>0</v>
      </c>
      <c r="AL159" s="78">
        <f t="shared" si="115"/>
        <v>0</v>
      </c>
      <c r="AM159" s="78">
        <f t="shared" si="115"/>
        <v>0</v>
      </c>
      <c r="AN159" s="78">
        <f t="shared" si="115"/>
        <v>0</v>
      </c>
    </row>
    <row r="160" spans="2:40" ht="12" outlineLevel="2" thickBot="1" x14ac:dyDescent="0.3">
      <c r="B160" s="63" t="s">
        <v>252</v>
      </c>
      <c r="C160" s="64">
        <v>800246953</v>
      </c>
      <c r="D160" s="65" t="s">
        <v>170</v>
      </c>
      <c r="E160" s="66">
        <v>23</v>
      </c>
      <c r="F160" s="66">
        <v>352801</v>
      </c>
      <c r="G160" s="66">
        <v>0</v>
      </c>
      <c r="H160" s="66">
        <f t="shared" si="98"/>
        <v>352801</v>
      </c>
      <c r="I160" s="66">
        <v>87120700</v>
      </c>
      <c r="J160" s="66">
        <v>99896100</v>
      </c>
      <c r="K160" s="66">
        <v>86060800</v>
      </c>
      <c r="L160" s="66">
        <v>317041500</v>
      </c>
      <c r="M160" s="66">
        <v>584401100</v>
      </c>
      <c r="N160" s="66">
        <v>852972700</v>
      </c>
      <c r="O160" s="66">
        <v>0</v>
      </c>
      <c r="P160" s="66">
        <v>0</v>
      </c>
      <c r="Q160" s="67">
        <f t="shared" si="97"/>
        <v>2027845701</v>
      </c>
      <c r="S160" s="68">
        <f>+H160*90%</f>
        <v>317520.90000000002</v>
      </c>
      <c r="T160" s="67">
        <f t="shared" ref="T160:Y160" si="116">+I160*90%</f>
        <v>78408630</v>
      </c>
      <c r="U160" s="67">
        <f t="shared" si="116"/>
        <v>89906490</v>
      </c>
      <c r="V160" s="67">
        <f t="shared" si="116"/>
        <v>77454720</v>
      </c>
      <c r="W160" s="67">
        <f t="shared" si="116"/>
        <v>285337350</v>
      </c>
      <c r="X160" s="67">
        <f t="shared" si="116"/>
        <v>525960990</v>
      </c>
      <c r="Y160" s="67">
        <f t="shared" si="116"/>
        <v>767675430</v>
      </c>
      <c r="Z160" s="67">
        <f t="shared" ref="Z160" si="117">+SUM(S160:Y160)</f>
        <v>1825061130.9000001</v>
      </c>
      <c r="AA160" s="62"/>
      <c r="AB160" s="67">
        <f>+S160</f>
        <v>317520.90000000002</v>
      </c>
      <c r="AC160" s="67">
        <f>+T160</f>
        <v>78408630</v>
      </c>
      <c r="AD160" s="67">
        <f>+U160</f>
        <v>89906490</v>
      </c>
      <c r="AE160" s="67">
        <f>+V160</f>
        <v>77454720</v>
      </c>
      <c r="AF160" s="67">
        <f t="shared" ref="AF160:AG160" si="118">+W160</f>
        <v>285337350</v>
      </c>
      <c r="AG160" s="67">
        <f t="shared" si="118"/>
        <v>525960990</v>
      </c>
      <c r="AH160" s="67">
        <f>+Y160/3</f>
        <v>255891810</v>
      </c>
      <c r="AI160" s="67">
        <f>+AH160</f>
        <v>255891810</v>
      </c>
      <c r="AJ160" s="67">
        <f>+AI160</f>
        <v>255891810</v>
      </c>
      <c r="AK160" s="67"/>
      <c r="AL160" s="67"/>
      <c r="AM160" s="67"/>
      <c r="AN160" s="67">
        <f>+SUM(AB160:AM160)</f>
        <v>1825061130.9000001</v>
      </c>
    </row>
    <row r="161" spans="2:40" ht="12" outlineLevel="1" thickBot="1" x14ac:dyDescent="0.3">
      <c r="B161" s="75" t="s">
        <v>253</v>
      </c>
      <c r="C161" s="76"/>
      <c r="D161" s="76"/>
      <c r="E161" s="77">
        <f t="shared" ref="E161:Z161" si="119">SUBTOTAL(9,E160:E160)</f>
        <v>23</v>
      </c>
      <c r="F161" s="77">
        <f t="shared" si="119"/>
        <v>352801</v>
      </c>
      <c r="G161" s="77">
        <f t="shared" si="119"/>
        <v>0</v>
      </c>
      <c r="H161" s="77">
        <f t="shared" si="119"/>
        <v>352801</v>
      </c>
      <c r="I161" s="77">
        <f t="shared" si="119"/>
        <v>87120700</v>
      </c>
      <c r="J161" s="77">
        <f t="shared" si="119"/>
        <v>99896100</v>
      </c>
      <c r="K161" s="77">
        <f t="shared" si="119"/>
        <v>86060800</v>
      </c>
      <c r="L161" s="77">
        <f t="shared" si="119"/>
        <v>317041500</v>
      </c>
      <c r="M161" s="77">
        <f t="shared" si="119"/>
        <v>584401100</v>
      </c>
      <c r="N161" s="77">
        <f t="shared" si="119"/>
        <v>852972700</v>
      </c>
      <c r="O161" s="77">
        <f t="shared" si="119"/>
        <v>0</v>
      </c>
      <c r="P161" s="77">
        <f t="shared" si="119"/>
        <v>0</v>
      </c>
      <c r="Q161" s="78">
        <f t="shared" si="119"/>
        <v>2027845701</v>
      </c>
      <c r="S161" s="79">
        <f t="shared" si="119"/>
        <v>317520.90000000002</v>
      </c>
      <c r="T161" s="78">
        <f t="shared" si="119"/>
        <v>78408630</v>
      </c>
      <c r="U161" s="78">
        <f t="shared" si="119"/>
        <v>89906490</v>
      </c>
      <c r="V161" s="78">
        <f t="shared" si="119"/>
        <v>77454720</v>
      </c>
      <c r="W161" s="78">
        <f t="shared" si="119"/>
        <v>285337350</v>
      </c>
      <c r="X161" s="78">
        <f t="shared" si="119"/>
        <v>525960990</v>
      </c>
      <c r="Y161" s="78">
        <f t="shared" si="119"/>
        <v>767675430</v>
      </c>
      <c r="Z161" s="78">
        <f t="shared" si="119"/>
        <v>1825061130.9000001</v>
      </c>
      <c r="AA161" s="62"/>
      <c r="AB161" s="78">
        <f t="shared" ref="AB161:AN161" si="120">SUBTOTAL(9,AB160:AB160)</f>
        <v>317520.90000000002</v>
      </c>
      <c r="AC161" s="78">
        <f t="shared" si="120"/>
        <v>78408630</v>
      </c>
      <c r="AD161" s="78">
        <f t="shared" si="120"/>
        <v>89906490</v>
      </c>
      <c r="AE161" s="78">
        <f t="shared" si="120"/>
        <v>77454720</v>
      </c>
      <c r="AF161" s="78">
        <f t="shared" si="120"/>
        <v>285337350</v>
      </c>
      <c r="AG161" s="78">
        <f t="shared" si="120"/>
        <v>525960990</v>
      </c>
      <c r="AH161" s="78">
        <f t="shared" si="120"/>
        <v>255891810</v>
      </c>
      <c r="AI161" s="78">
        <f t="shared" si="120"/>
        <v>255891810</v>
      </c>
      <c r="AJ161" s="78">
        <f t="shared" si="120"/>
        <v>255891810</v>
      </c>
      <c r="AK161" s="78">
        <f t="shared" si="120"/>
        <v>0</v>
      </c>
      <c r="AL161" s="78">
        <f t="shared" si="120"/>
        <v>0</v>
      </c>
      <c r="AM161" s="78">
        <f t="shared" si="120"/>
        <v>0</v>
      </c>
      <c r="AN161" s="78">
        <f t="shared" si="120"/>
        <v>1825061130.9000001</v>
      </c>
    </row>
    <row r="162" spans="2:40" outlineLevel="2" x14ac:dyDescent="0.25">
      <c r="B162" s="63" t="s">
        <v>254</v>
      </c>
      <c r="C162" s="64">
        <v>800246953</v>
      </c>
      <c r="D162" s="65" t="s">
        <v>170</v>
      </c>
      <c r="E162" s="66">
        <v>2588</v>
      </c>
      <c r="F162" s="66">
        <v>117144319.67</v>
      </c>
      <c r="G162" s="66">
        <v>4369155</v>
      </c>
      <c r="H162" s="66">
        <f t="shared" si="98"/>
        <v>121513474.67</v>
      </c>
      <c r="I162" s="66">
        <v>33012222</v>
      </c>
      <c r="J162" s="66">
        <v>107875383</v>
      </c>
      <c r="K162" s="66">
        <v>90512684</v>
      </c>
      <c r="L162" s="66">
        <v>312595371</v>
      </c>
      <c r="M162" s="66">
        <v>101878338</v>
      </c>
      <c r="N162" s="66">
        <v>15473383500.260002</v>
      </c>
      <c r="O162" s="66">
        <v>0</v>
      </c>
      <c r="P162" s="66">
        <v>-6969742</v>
      </c>
      <c r="Q162" s="67">
        <f t="shared" si="97"/>
        <v>16233801230.930002</v>
      </c>
      <c r="S162" s="68">
        <f t="shared" ref="S162:Y163" si="121">+H162*90%</f>
        <v>109362127.20300001</v>
      </c>
      <c r="T162" s="67">
        <v>0</v>
      </c>
      <c r="U162" s="67">
        <v>0</v>
      </c>
      <c r="V162" s="67">
        <v>0</v>
      </c>
      <c r="W162" s="67">
        <v>0</v>
      </c>
      <c r="X162" s="67">
        <v>0</v>
      </c>
      <c r="Y162" s="67">
        <v>0</v>
      </c>
      <c r="Z162" s="67">
        <f t="shared" ref="Z162:Z163" si="122">+SUM(S162:Y162)</f>
        <v>109362127.20300001</v>
      </c>
      <c r="AA162" s="62"/>
      <c r="AB162" s="67">
        <f t="shared" ref="AB162:AG163" si="123">+S162</f>
        <v>109362127.20300001</v>
      </c>
      <c r="AC162" s="67">
        <f t="shared" si="123"/>
        <v>0</v>
      </c>
      <c r="AD162" s="67">
        <f t="shared" si="123"/>
        <v>0</v>
      </c>
      <c r="AE162" s="67">
        <f t="shared" si="123"/>
        <v>0</v>
      </c>
      <c r="AF162" s="67">
        <f t="shared" si="123"/>
        <v>0</v>
      </c>
      <c r="AG162" s="67">
        <f t="shared" si="123"/>
        <v>0</v>
      </c>
      <c r="AH162" s="67">
        <f t="shared" ref="AH162:AH163" si="124">+Y162/3</f>
        <v>0</v>
      </c>
      <c r="AI162" s="67">
        <f t="shared" ref="AI162:AJ163" si="125">+AH162</f>
        <v>0</v>
      </c>
      <c r="AJ162" s="67">
        <f t="shared" si="125"/>
        <v>0</v>
      </c>
      <c r="AK162" s="67"/>
      <c r="AL162" s="67"/>
      <c r="AM162" s="67"/>
      <c r="AN162" s="67">
        <f t="shared" ref="AN162:AN163" si="126">+SUM(AB162:AM162)</f>
        <v>109362127.20300001</v>
      </c>
    </row>
    <row r="163" spans="2:40" ht="12" outlineLevel="2" thickBot="1" x14ac:dyDescent="0.3">
      <c r="B163" s="63" t="s">
        <v>254</v>
      </c>
      <c r="C163" s="64" t="s">
        <v>255</v>
      </c>
      <c r="D163" s="65" t="s">
        <v>256</v>
      </c>
      <c r="E163" s="66">
        <v>0</v>
      </c>
      <c r="F163" s="66">
        <v>48160</v>
      </c>
      <c r="G163" s="66">
        <v>0</v>
      </c>
      <c r="H163" s="66">
        <f t="shared" si="98"/>
        <v>48160</v>
      </c>
      <c r="I163" s="66">
        <v>0</v>
      </c>
      <c r="J163" s="66">
        <v>0</v>
      </c>
      <c r="K163" s="66">
        <v>0</v>
      </c>
      <c r="L163" s="66">
        <v>0</v>
      </c>
      <c r="M163" s="66">
        <v>0</v>
      </c>
      <c r="N163" s="66">
        <v>0</v>
      </c>
      <c r="O163" s="66">
        <v>0</v>
      </c>
      <c r="P163" s="66">
        <v>0</v>
      </c>
      <c r="Q163" s="67">
        <f t="shared" si="97"/>
        <v>48160</v>
      </c>
      <c r="S163" s="68">
        <f t="shared" si="121"/>
        <v>43344</v>
      </c>
      <c r="T163" s="67">
        <f t="shared" si="121"/>
        <v>0</v>
      </c>
      <c r="U163" s="67">
        <f t="shared" si="121"/>
        <v>0</v>
      </c>
      <c r="V163" s="67">
        <f t="shared" si="121"/>
        <v>0</v>
      </c>
      <c r="W163" s="67">
        <f t="shared" si="121"/>
        <v>0</v>
      </c>
      <c r="X163" s="67">
        <f t="shared" si="121"/>
        <v>0</v>
      </c>
      <c r="Y163" s="67">
        <f t="shared" si="121"/>
        <v>0</v>
      </c>
      <c r="Z163" s="67">
        <f t="shared" si="122"/>
        <v>43344</v>
      </c>
      <c r="AA163" s="62"/>
      <c r="AB163" s="67">
        <f t="shared" si="123"/>
        <v>43344</v>
      </c>
      <c r="AC163" s="67">
        <f t="shared" si="123"/>
        <v>0</v>
      </c>
      <c r="AD163" s="67">
        <f t="shared" si="123"/>
        <v>0</v>
      </c>
      <c r="AE163" s="67">
        <f t="shared" si="123"/>
        <v>0</v>
      </c>
      <c r="AF163" s="67">
        <f t="shared" si="123"/>
        <v>0</v>
      </c>
      <c r="AG163" s="67">
        <f t="shared" si="123"/>
        <v>0</v>
      </c>
      <c r="AH163" s="67">
        <f t="shared" si="124"/>
        <v>0</v>
      </c>
      <c r="AI163" s="67">
        <f t="shared" si="125"/>
        <v>0</v>
      </c>
      <c r="AJ163" s="67">
        <f t="shared" si="125"/>
        <v>0</v>
      </c>
      <c r="AK163" s="67"/>
      <c r="AL163" s="67"/>
      <c r="AM163" s="67"/>
      <c r="AN163" s="67">
        <f t="shared" si="126"/>
        <v>43344</v>
      </c>
    </row>
    <row r="164" spans="2:40" ht="12" outlineLevel="1" thickBot="1" x14ac:dyDescent="0.3">
      <c r="B164" s="75" t="s">
        <v>257</v>
      </c>
      <c r="C164" s="76"/>
      <c r="D164" s="76"/>
      <c r="E164" s="77">
        <f t="shared" ref="E164:Z164" si="127">SUBTOTAL(9,E162:E163)</f>
        <v>2588</v>
      </c>
      <c r="F164" s="77">
        <f t="shared" si="127"/>
        <v>117192479.67</v>
      </c>
      <c r="G164" s="77">
        <f t="shared" si="127"/>
        <v>4369155</v>
      </c>
      <c r="H164" s="77">
        <f t="shared" si="127"/>
        <v>121561634.67</v>
      </c>
      <c r="I164" s="77">
        <f t="shared" si="127"/>
        <v>33012222</v>
      </c>
      <c r="J164" s="77">
        <f t="shared" si="127"/>
        <v>107875383</v>
      </c>
      <c r="K164" s="77">
        <f t="shared" si="127"/>
        <v>90512684</v>
      </c>
      <c r="L164" s="77">
        <f t="shared" si="127"/>
        <v>312595371</v>
      </c>
      <c r="M164" s="77">
        <f t="shared" si="127"/>
        <v>101878338</v>
      </c>
      <c r="N164" s="77">
        <f t="shared" si="127"/>
        <v>15473383500.260002</v>
      </c>
      <c r="O164" s="77">
        <f t="shared" si="127"/>
        <v>0</v>
      </c>
      <c r="P164" s="77">
        <f t="shared" si="127"/>
        <v>-6969742</v>
      </c>
      <c r="Q164" s="78">
        <f t="shared" si="127"/>
        <v>16233849390.930002</v>
      </c>
      <c r="S164" s="79">
        <f t="shared" si="127"/>
        <v>109405471.20300001</v>
      </c>
      <c r="T164" s="78">
        <f t="shared" si="127"/>
        <v>0</v>
      </c>
      <c r="U164" s="78">
        <f t="shared" si="127"/>
        <v>0</v>
      </c>
      <c r="V164" s="78">
        <f t="shared" si="127"/>
        <v>0</v>
      </c>
      <c r="W164" s="78">
        <f t="shared" si="127"/>
        <v>0</v>
      </c>
      <c r="X164" s="78">
        <f t="shared" si="127"/>
        <v>0</v>
      </c>
      <c r="Y164" s="78">
        <f t="shared" si="127"/>
        <v>0</v>
      </c>
      <c r="Z164" s="78">
        <f t="shared" si="127"/>
        <v>109405471.20300001</v>
      </c>
      <c r="AA164" s="62"/>
      <c r="AB164" s="78">
        <f t="shared" ref="AB164:AN164" si="128">SUBTOTAL(9,AB162:AB163)</f>
        <v>109405471.20300001</v>
      </c>
      <c r="AC164" s="78">
        <f t="shared" si="128"/>
        <v>0</v>
      </c>
      <c r="AD164" s="78">
        <f t="shared" si="128"/>
        <v>0</v>
      </c>
      <c r="AE164" s="78">
        <f t="shared" si="128"/>
        <v>0</v>
      </c>
      <c r="AF164" s="78">
        <f t="shared" si="128"/>
        <v>0</v>
      </c>
      <c r="AG164" s="78">
        <f t="shared" si="128"/>
        <v>0</v>
      </c>
      <c r="AH164" s="78">
        <f t="shared" si="128"/>
        <v>0</v>
      </c>
      <c r="AI164" s="78">
        <f t="shared" si="128"/>
        <v>0</v>
      </c>
      <c r="AJ164" s="78">
        <f t="shared" si="128"/>
        <v>0</v>
      </c>
      <c r="AK164" s="78">
        <f t="shared" si="128"/>
        <v>0</v>
      </c>
      <c r="AL164" s="78">
        <f t="shared" si="128"/>
        <v>0</v>
      </c>
      <c r="AM164" s="78">
        <f t="shared" si="128"/>
        <v>0</v>
      </c>
      <c r="AN164" s="78">
        <f t="shared" si="128"/>
        <v>109405471.20300001</v>
      </c>
    </row>
    <row r="165" spans="2:40" outlineLevel="2" x14ac:dyDescent="0.25">
      <c r="B165" s="63" t="s">
        <v>258</v>
      </c>
      <c r="C165" s="64">
        <v>800053550</v>
      </c>
      <c r="D165" s="65" t="s">
        <v>259</v>
      </c>
      <c r="E165" s="66">
        <v>4</v>
      </c>
      <c r="F165" s="66">
        <v>0</v>
      </c>
      <c r="G165" s="66">
        <v>2800000</v>
      </c>
      <c r="H165" s="66">
        <f t="shared" si="98"/>
        <v>2800000</v>
      </c>
      <c r="I165" s="66">
        <v>0</v>
      </c>
      <c r="J165" s="66">
        <v>4702400</v>
      </c>
      <c r="K165" s="66">
        <v>0</v>
      </c>
      <c r="L165" s="66">
        <v>0</v>
      </c>
      <c r="M165" s="66">
        <v>0</v>
      </c>
      <c r="N165" s="66">
        <v>0</v>
      </c>
      <c r="O165" s="66">
        <v>0</v>
      </c>
      <c r="P165" s="66">
        <v>0</v>
      </c>
      <c r="Q165" s="67">
        <f t="shared" si="97"/>
        <v>7502400</v>
      </c>
      <c r="S165" s="68">
        <f>+H165*50%</f>
        <v>1400000</v>
      </c>
      <c r="T165" s="67">
        <f>+I165*50%</f>
        <v>0</v>
      </c>
      <c r="U165" s="67">
        <f>+J165*60%</f>
        <v>2821440</v>
      </c>
      <c r="V165" s="67">
        <f>+K165*70%</f>
        <v>0</v>
      </c>
      <c r="W165" s="67">
        <f>+L165*0.7</f>
        <v>0</v>
      </c>
      <c r="X165" s="67">
        <f>+M165*0.75</f>
        <v>0</v>
      </c>
      <c r="Y165" s="67">
        <f>(Q165-S165-T165-U165-V165-W165-X165)*50%</f>
        <v>1640480</v>
      </c>
      <c r="Z165" s="67">
        <f t="shared" ref="Z165:Z184" si="129">+SUM(S165:Y165)</f>
        <v>5861920</v>
      </c>
      <c r="AA165" s="62"/>
      <c r="AB165" s="67">
        <f t="shared" ref="AB165:AG184" si="130">+S165</f>
        <v>1400000</v>
      </c>
      <c r="AC165" s="67">
        <f t="shared" si="130"/>
        <v>0</v>
      </c>
      <c r="AD165" s="67">
        <f t="shared" si="130"/>
        <v>2821440</v>
      </c>
      <c r="AE165" s="67">
        <f t="shared" si="130"/>
        <v>0</v>
      </c>
      <c r="AF165" s="67">
        <f t="shared" si="130"/>
        <v>0</v>
      </c>
      <c r="AG165" s="67">
        <f t="shared" si="130"/>
        <v>0</v>
      </c>
      <c r="AH165" s="67">
        <f t="shared" ref="AH165:AH184" si="131">+Y165/3</f>
        <v>546826.66666666663</v>
      </c>
      <c r="AI165" s="67">
        <f t="shared" ref="AI165:AJ180" si="132">+AH165</f>
        <v>546826.66666666663</v>
      </c>
      <c r="AJ165" s="67">
        <f t="shared" si="132"/>
        <v>546826.66666666663</v>
      </c>
      <c r="AK165" s="67"/>
      <c r="AL165" s="67"/>
      <c r="AM165" s="67"/>
      <c r="AN165" s="67">
        <f t="shared" ref="AN165:AN184" si="133">+SUM(AB165:AM165)</f>
        <v>5861920.0000000009</v>
      </c>
    </row>
    <row r="166" spans="2:40" outlineLevel="2" x14ac:dyDescent="0.25">
      <c r="B166" s="63" t="s">
        <v>258</v>
      </c>
      <c r="C166" s="64">
        <v>800149384</v>
      </c>
      <c r="D166" s="65" t="s">
        <v>260</v>
      </c>
      <c r="E166" s="66">
        <v>3</v>
      </c>
      <c r="F166" s="66">
        <v>0</v>
      </c>
      <c r="G166" s="66">
        <v>0</v>
      </c>
      <c r="H166" s="66">
        <f t="shared" si="98"/>
        <v>0</v>
      </c>
      <c r="I166" s="66">
        <v>0</v>
      </c>
      <c r="J166" s="66">
        <v>0</v>
      </c>
      <c r="K166" s="66">
        <v>0</v>
      </c>
      <c r="L166" s="66">
        <v>0</v>
      </c>
      <c r="M166" s="66">
        <v>116900</v>
      </c>
      <c r="N166" s="66">
        <v>2742300</v>
      </c>
      <c r="O166" s="66">
        <v>0</v>
      </c>
      <c r="P166" s="66">
        <v>0</v>
      </c>
      <c r="Q166" s="67">
        <f t="shared" si="97"/>
        <v>2859200</v>
      </c>
      <c r="S166" s="68">
        <f t="shared" ref="S166:T184" si="134">+H166*50%</f>
        <v>0</v>
      </c>
      <c r="T166" s="67">
        <f t="shared" si="134"/>
        <v>0</v>
      </c>
      <c r="U166" s="67">
        <f t="shared" ref="U166:U184" si="135">+J166*60%</f>
        <v>0</v>
      </c>
      <c r="V166" s="67">
        <f t="shared" ref="V166:V184" si="136">+K166*70%</f>
        <v>0</v>
      </c>
      <c r="W166" s="67">
        <f t="shared" ref="W166:W184" si="137">+L166*0.7</f>
        <v>0</v>
      </c>
      <c r="X166" s="67">
        <f t="shared" ref="X166:X184" si="138">+M166*0.75</f>
        <v>87675</v>
      </c>
      <c r="Y166" s="67">
        <f t="shared" ref="Y166:Y184" si="139">(Q166-S166-T166-U166-V166-W166-X166)*50%</f>
        <v>1385762.5</v>
      </c>
      <c r="Z166" s="67">
        <f t="shared" si="129"/>
        <v>1473437.5</v>
      </c>
      <c r="AA166" s="62"/>
      <c r="AB166" s="67">
        <f t="shared" si="130"/>
        <v>0</v>
      </c>
      <c r="AC166" s="67">
        <f t="shared" si="130"/>
        <v>0</v>
      </c>
      <c r="AD166" s="67">
        <f t="shared" si="130"/>
        <v>0</v>
      </c>
      <c r="AE166" s="67">
        <f t="shared" si="130"/>
        <v>0</v>
      </c>
      <c r="AF166" s="67">
        <f t="shared" si="130"/>
        <v>0</v>
      </c>
      <c r="AG166" s="67">
        <f t="shared" si="130"/>
        <v>87675</v>
      </c>
      <c r="AH166" s="67">
        <f t="shared" si="131"/>
        <v>461920.83333333331</v>
      </c>
      <c r="AI166" s="67">
        <f t="shared" si="132"/>
        <v>461920.83333333331</v>
      </c>
      <c r="AJ166" s="67">
        <f t="shared" si="132"/>
        <v>461920.83333333331</v>
      </c>
      <c r="AK166" s="67"/>
      <c r="AL166" s="67"/>
      <c r="AM166" s="67"/>
      <c r="AN166" s="67">
        <f t="shared" si="133"/>
        <v>1473437.4999999998</v>
      </c>
    </row>
    <row r="167" spans="2:40" outlineLevel="2" x14ac:dyDescent="0.25">
      <c r="B167" s="63" t="s">
        <v>258</v>
      </c>
      <c r="C167" s="64">
        <v>800250634</v>
      </c>
      <c r="D167" s="65" t="s">
        <v>261</v>
      </c>
      <c r="E167" s="66">
        <v>6</v>
      </c>
      <c r="F167" s="66">
        <v>0</v>
      </c>
      <c r="G167" s="66">
        <v>3428287</v>
      </c>
      <c r="H167" s="66">
        <f t="shared" si="98"/>
        <v>3428287</v>
      </c>
      <c r="I167" s="66">
        <v>0</v>
      </c>
      <c r="J167" s="66">
        <v>0</v>
      </c>
      <c r="K167" s="66">
        <v>0</v>
      </c>
      <c r="L167" s="66">
        <v>0</v>
      </c>
      <c r="M167" s="66">
        <v>0</v>
      </c>
      <c r="N167" s="66">
        <v>3201687</v>
      </c>
      <c r="O167" s="66">
        <v>0</v>
      </c>
      <c r="P167" s="66">
        <v>0</v>
      </c>
      <c r="Q167" s="67">
        <f t="shared" si="97"/>
        <v>6629974</v>
      </c>
      <c r="S167" s="68">
        <f t="shared" si="134"/>
        <v>1714143.5</v>
      </c>
      <c r="T167" s="67">
        <f t="shared" si="134"/>
        <v>0</v>
      </c>
      <c r="U167" s="67">
        <f t="shared" si="135"/>
        <v>0</v>
      </c>
      <c r="V167" s="67">
        <f t="shared" si="136"/>
        <v>0</v>
      </c>
      <c r="W167" s="67">
        <f t="shared" si="137"/>
        <v>0</v>
      </c>
      <c r="X167" s="67">
        <f t="shared" si="138"/>
        <v>0</v>
      </c>
      <c r="Y167" s="67">
        <f t="shared" si="139"/>
        <v>2457915.25</v>
      </c>
      <c r="Z167" s="67">
        <f t="shared" si="129"/>
        <v>4172058.75</v>
      </c>
      <c r="AA167" s="62"/>
      <c r="AB167" s="67">
        <f t="shared" si="130"/>
        <v>1714143.5</v>
      </c>
      <c r="AC167" s="67">
        <f t="shared" si="130"/>
        <v>0</v>
      </c>
      <c r="AD167" s="67">
        <f t="shared" si="130"/>
        <v>0</v>
      </c>
      <c r="AE167" s="67">
        <f t="shared" si="130"/>
        <v>0</v>
      </c>
      <c r="AF167" s="67">
        <f t="shared" si="130"/>
        <v>0</v>
      </c>
      <c r="AG167" s="67">
        <f t="shared" si="130"/>
        <v>0</v>
      </c>
      <c r="AH167" s="67">
        <f t="shared" si="131"/>
        <v>819305.08333333337</v>
      </c>
      <c r="AI167" s="67">
        <f t="shared" si="132"/>
        <v>819305.08333333337</v>
      </c>
      <c r="AJ167" s="67">
        <f t="shared" si="132"/>
        <v>819305.08333333337</v>
      </c>
      <c r="AK167" s="67"/>
      <c r="AL167" s="67"/>
      <c r="AM167" s="67"/>
      <c r="AN167" s="67">
        <f t="shared" si="133"/>
        <v>4172058.7500000005</v>
      </c>
    </row>
    <row r="168" spans="2:40" outlineLevel="2" x14ac:dyDescent="0.25">
      <c r="B168" s="63" t="s">
        <v>258</v>
      </c>
      <c r="C168" s="64">
        <v>813005431</v>
      </c>
      <c r="D168" s="65" t="s">
        <v>262</v>
      </c>
      <c r="E168" s="66">
        <v>4</v>
      </c>
      <c r="F168" s="66">
        <v>450369.15</v>
      </c>
      <c r="G168" s="66">
        <v>227325</v>
      </c>
      <c r="H168" s="66">
        <f t="shared" si="98"/>
        <v>677694.15</v>
      </c>
      <c r="I168" s="66">
        <v>0</v>
      </c>
      <c r="J168" s="66">
        <v>0</v>
      </c>
      <c r="K168" s="66">
        <v>0</v>
      </c>
      <c r="L168" s="66">
        <v>694098</v>
      </c>
      <c r="M168" s="66">
        <v>697002</v>
      </c>
      <c r="N168" s="66">
        <v>20863437.5</v>
      </c>
      <c r="O168" s="66">
        <v>0</v>
      </c>
      <c r="P168" s="66">
        <v>-116900</v>
      </c>
      <c r="Q168" s="67">
        <f t="shared" si="97"/>
        <v>22815331.649999999</v>
      </c>
      <c r="S168" s="68">
        <f t="shared" si="134"/>
        <v>338847.07500000001</v>
      </c>
      <c r="T168" s="67">
        <f t="shared" si="134"/>
        <v>0</v>
      </c>
      <c r="U168" s="67">
        <f t="shared" si="135"/>
        <v>0</v>
      </c>
      <c r="V168" s="67">
        <f t="shared" si="136"/>
        <v>0</v>
      </c>
      <c r="W168" s="67">
        <f t="shared" si="137"/>
        <v>485868.6</v>
      </c>
      <c r="X168" s="67">
        <f t="shared" si="138"/>
        <v>522751.5</v>
      </c>
      <c r="Y168" s="67">
        <f t="shared" si="139"/>
        <v>10733932.237499999</v>
      </c>
      <c r="Z168" s="67">
        <f t="shared" si="129"/>
        <v>12081399.4125</v>
      </c>
      <c r="AA168" s="62"/>
      <c r="AB168" s="67">
        <f t="shared" si="130"/>
        <v>338847.07500000001</v>
      </c>
      <c r="AC168" s="67">
        <f t="shared" si="130"/>
        <v>0</v>
      </c>
      <c r="AD168" s="67">
        <f t="shared" si="130"/>
        <v>0</v>
      </c>
      <c r="AE168" s="67">
        <f t="shared" si="130"/>
        <v>0</v>
      </c>
      <c r="AF168" s="67">
        <f t="shared" si="130"/>
        <v>485868.6</v>
      </c>
      <c r="AG168" s="67">
        <f t="shared" si="130"/>
        <v>522751.5</v>
      </c>
      <c r="AH168" s="67">
        <f t="shared" si="131"/>
        <v>3577977.4124999996</v>
      </c>
      <c r="AI168" s="67">
        <f t="shared" si="132"/>
        <v>3577977.4124999996</v>
      </c>
      <c r="AJ168" s="67">
        <f t="shared" si="132"/>
        <v>3577977.4124999996</v>
      </c>
      <c r="AK168" s="67"/>
      <c r="AL168" s="67"/>
      <c r="AM168" s="67"/>
      <c r="AN168" s="67">
        <f t="shared" si="133"/>
        <v>12081399.4125</v>
      </c>
    </row>
    <row r="169" spans="2:40" outlineLevel="2" x14ac:dyDescent="0.25">
      <c r="B169" s="63" t="s">
        <v>258</v>
      </c>
      <c r="C169" s="64">
        <v>830005028</v>
      </c>
      <c r="D169" s="65" t="s">
        <v>263</v>
      </c>
      <c r="E169" s="66">
        <v>2</v>
      </c>
      <c r="F169" s="66">
        <v>0</v>
      </c>
      <c r="G169" s="66">
        <v>0</v>
      </c>
      <c r="H169" s="66">
        <f t="shared" si="98"/>
        <v>0</v>
      </c>
      <c r="I169" s="66">
        <v>0</v>
      </c>
      <c r="J169" s="66">
        <v>6035600</v>
      </c>
      <c r="K169" s="66">
        <v>0</v>
      </c>
      <c r="L169" s="66">
        <v>0</v>
      </c>
      <c r="M169" s="66">
        <v>0</v>
      </c>
      <c r="N169" s="66">
        <v>0</v>
      </c>
      <c r="O169" s="66">
        <v>0</v>
      </c>
      <c r="P169" s="66">
        <v>-3017800</v>
      </c>
      <c r="Q169" s="67">
        <f t="shared" si="97"/>
        <v>3017800</v>
      </c>
      <c r="S169" s="68">
        <f t="shared" si="134"/>
        <v>0</v>
      </c>
      <c r="T169" s="67">
        <f t="shared" si="134"/>
        <v>0</v>
      </c>
      <c r="U169" s="67">
        <f t="shared" si="135"/>
        <v>3621360</v>
      </c>
      <c r="V169" s="67">
        <f t="shared" si="136"/>
        <v>0</v>
      </c>
      <c r="W169" s="67">
        <f t="shared" si="137"/>
        <v>0</v>
      </c>
      <c r="X169" s="67">
        <f t="shared" si="138"/>
        <v>0</v>
      </c>
      <c r="Y169" s="67">
        <v>0</v>
      </c>
      <c r="Z169" s="67">
        <f t="shared" si="129"/>
        <v>3621360</v>
      </c>
      <c r="AA169" s="62"/>
      <c r="AB169" s="67">
        <f t="shared" si="130"/>
        <v>0</v>
      </c>
      <c r="AC169" s="67">
        <f t="shared" si="130"/>
        <v>0</v>
      </c>
      <c r="AD169" s="67">
        <f t="shared" si="130"/>
        <v>3621360</v>
      </c>
      <c r="AE169" s="67">
        <f t="shared" si="130"/>
        <v>0</v>
      </c>
      <c r="AF169" s="67">
        <f t="shared" si="130"/>
        <v>0</v>
      </c>
      <c r="AG169" s="67">
        <f t="shared" si="130"/>
        <v>0</v>
      </c>
      <c r="AH169" s="67">
        <f t="shared" si="131"/>
        <v>0</v>
      </c>
      <c r="AI169" s="67">
        <f t="shared" si="132"/>
        <v>0</v>
      </c>
      <c r="AJ169" s="67">
        <f t="shared" si="132"/>
        <v>0</v>
      </c>
      <c r="AK169" s="67"/>
      <c r="AL169" s="67"/>
      <c r="AM169" s="67"/>
      <c r="AN169" s="67">
        <f t="shared" si="133"/>
        <v>3621360</v>
      </c>
    </row>
    <row r="170" spans="2:40" outlineLevel="2" x14ac:dyDescent="0.25">
      <c r="B170" s="63" t="s">
        <v>258</v>
      </c>
      <c r="C170" s="64">
        <v>830028288</v>
      </c>
      <c r="D170" s="65" t="s">
        <v>133</v>
      </c>
      <c r="E170" s="66">
        <v>5</v>
      </c>
      <c r="F170" s="66">
        <v>0</v>
      </c>
      <c r="G170" s="66">
        <v>0</v>
      </c>
      <c r="H170" s="66">
        <f t="shared" si="98"/>
        <v>0</v>
      </c>
      <c r="I170" s="66">
        <v>0</v>
      </c>
      <c r="J170" s="66">
        <v>0</v>
      </c>
      <c r="K170" s="66">
        <v>0</v>
      </c>
      <c r="L170" s="66">
        <v>0</v>
      </c>
      <c r="M170" s="66">
        <v>0</v>
      </c>
      <c r="N170" s="66">
        <v>5435553</v>
      </c>
      <c r="O170" s="66">
        <v>0</v>
      </c>
      <c r="P170" s="66">
        <v>0</v>
      </c>
      <c r="Q170" s="67">
        <f t="shared" si="97"/>
        <v>5435553</v>
      </c>
      <c r="S170" s="68">
        <f t="shared" si="134"/>
        <v>0</v>
      </c>
      <c r="T170" s="67">
        <f t="shared" si="134"/>
        <v>0</v>
      </c>
      <c r="U170" s="67">
        <f t="shared" si="135"/>
        <v>0</v>
      </c>
      <c r="V170" s="67">
        <f t="shared" si="136"/>
        <v>0</v>
      </c>
      <c r="W170" s="67">
        <f t="shared" si="137"/>
        <v>0</v>
      </c>
      <c r="X170" s="67">
        <f t="shared" si="138"/>
        <v>0</v>
      </c>
      <c r="Y170" s="67">
        <f t="shared" si="139"/>
        <v>2717776.5</v>
      </c>
      <c r="Z170" s="67">
        <f t="shared" si="129"/>
        <v>2717776.5</v>
      </c>
      <c r="AA170" s="62"/>
      <c r="AB170" s="67">
        <f t="shared" si="130"/>
        <v>0</v>
      </c>
      <c r="AC170" s="67">
        <f t="shared" si="130"/>
        <v>0</v>
      </c>
      <c r="AD170" s="67">
        <f t="shared" si="130"/>
        <v>0</v>
      </c>
      <c r="AE170" s="67">
        <f t="shared" si="130"/>
        <v>0</v>
      </c>
      <c r="AF170" s="67">
        <f t="shared" si="130"/>
        <v>0</v>
      </c>
      <c r="AG170" s="67">
        <f t="shared" si="130"/>
        <v>0</v>
      </c>
      <c r="AH170" s="67">
        <f t="shared" si="131"/>
        <v>905925.5</v>
      </c>
      <c r="AI170" s="67">
        <f t="shared" si="132"/>
        <v>905925.5</v>
      </c>
      <c r="AJ170" s="67">
        <f t="shared" si="132"/>
        <v>905925.5</v>
      </c>
      <c r="AK170" s="67"/>
      <c r="AL170" s="67"/>
      <c r="AM170" s="67"/>
      <c r="AN170" s="67">
        <f t="shared" si="133"/>
        <v>2717776.5</v>
      </c>
    </row>
    <row r="171" spans="2:40" outlineLevel="2" x14ac:dyDescent="0.25">
      <c r="B171" s="63" t="s">
        <v>258</v>
      </c>
      <c r="C171" s="64">
        <v>830120157</v>
      </c>
      <c r="D171" s="65" t="s">
        <v>264</v>
      </c>
      <c r="E171" s="66">
        <v>4</v>
      </c>
      <c r="F171" s="66">
        <v>0</v>
      </c>
      <c r="G171" s="66">
        <v>0</v>
      </c>
      <c r="H171" s="66">
        <f t="shared" si="98"/>
        <v>0</v>
      </c>
      <c r="I171" s="66">
        <v>0</v>
      </c>
      <c r="J171" s="66">
        <v>0</v>
      </c>
      <c r="K171" s="66">
        <v>6609700</v>
      </c>
      <c r="L171" s="66">
        <v>0</v>
      </c>
      <c r="M171" s="66">
        <v>0</v>
      </c>
      <c r="N171" s="66">
        <v>0</v>
      </c>
      <c r="O171" s="66">
        <v>0</v>
      </c>
      <c r="P171" s="66">
        <v>0</v>
      </c>
      <c r="Q171" s="67">
        <f t="shared" si="97"/>
        <v>6609700</v>
      </c>
      <c r="S171" s="68">
        <f t="shared" si="134"/>
        <v>0</v>
      </c>
      <c r="T171" s="67">
        <f t="shared" si="134"/>
        <v>0</v>
      </c>
      <c r="U171" s="67">
        <f t="shared" si="135"/>
        <v>0</v>
      </c>
      <c r="V171" s="67">
        <f t="shared" si="136"/>
        <v>4626790</v>
      </c>
      <c r="W171" s="67">
        <f t="shared" si="137"/>
        <v>0</v>
      </c>
      <c r="X171" s="67">
        <f t="shared" si="138"/>
        <v>0</v>
      </c>
      <c r="Y171" s="67">
        <f t="shared" si="139"/>
        <v>991455</v>
      </c>
      <c r="Z171" s="67">
        <f t="shared" si="129"/>
        <v>5618245</v>
      </c>
      <c r="AA171" s="62"/>
      <c r="AB171" s="67">
        <f t="shared" si="130"/>
        <v>0</v>
      </c>
      <c r="AC171" s="67">
        <f t="shared" si="130"/>
        <v>0</v>
      </c>
      <c r="AD171" s="67">
        <f t="shared" si="130"/>
        <v>0</v>
      </c>
      <c r="AE171" s="67">
        <f t="shared" si="130"/>
        <v>4626790</v>
      </c>
      <c r="AF171" s="67">
        <f t="shared" si="130"/>
        <v>0</v>
      </c>
      <c r="AG171" s="67">
        <f t="shared" si="130"/>
        <v>0</v>
      </c>
      <c r="AH171" s="67">
        <f t="shared" si="131"/>
        <v>330485</v>
      </c>
      <c r="AI171" s="67">
        <f t="shared" si="132"/>
        <v>330485</v>
      </c>
      <c r="AJ171" s="67">
        <f t="shared" si="132"/>
        <v>330485</v>
      </c>
      <c r="AK171" s="67"/>
      <c r="AL171" s="67"/>
      <c r="AM171" s="67"/>
      <c r="AN171" s="67">
        <f t="shared" si="133"/>
        <v>5618245</v>
      </c>
    </row>
    <row r="172" spans="2:40" outlineLevel="2" x14ac:dyDescent="0.25">
      <c r="B172" s="63" t="s">
        <v>258</v>
      </c>
      <c r="C172" s="64">
        <v>860006656</v>
      </c>
      <c r="D172" s="65" t="s">
        <v>265</v>
      </c>
      <c r="E172" s="66">
        <v>1</v>
      </c>
      <c r="F172" s="66">
        <v>0</v>
      </c>
      <c r="G172" s="66">
        <v>0</v>
      </c>
      <c r="H172" s="66">
        <f t="shared" si="98"/>
        <v>0</v>
      </c>
      <c r="I172" s="66">
        <v>0</v>
      </c>
      <c r="J172" s="66">
        <v>0</v>
      </c>
      <c r="K172" s="66">
        <v>1508900</v>
      </c>
      <c r="L172" s="66">
        <v>0</v>
      </c>
      <c r="M172" s="66">
        <v>0</v>
      </c>
      <c r="N172" s="66">
        <v>0</v>
      </c>
      <c r="O172" s="66">
        <v>0</v>
      </c>
      <c r="P172" s="66">
        <v>0</v>
      </c>
      <c r="Q172" s="67">
        <f t="shared" si="97"/>
        <v>1508900</v>
      </c>
      <c r="S172" s="68">
        <f t="shared" si="134"/>
        <v>0</v>
      </c>
      <c r="T172" s="67">
        <f t="shared" si="134"/>
        <v>0</v>
      </c>
      <c r="U172" s="67">
        <f t="shared" si="135"/>
        <v>0</v>
      </c>
      <c r="V172" s="67">
        <f t="shared" si="136"/>
        <v>1056230</v>
      </c>
      <c r="W172" s="67">
        <f t="shared" si="137"/>
        <v>0</v>
      </c>
      <c r="X172" s="67">
        <f t="shared" si="138"/>
        <v>0</v>
      </c>
      <c r="Y172" s="67">
        <f t="shared" si="139"/>
        <v>226335</v>
      </c>
      <c r="Z172" s="67">
        <f t="shared" si="129"/>
        <v>1282565</v>
      </c>
      <c r="AA172" s="62"/>
      <c r="AB172" s="67">
        <f t="shared" si="130"/>
        <v>0</v>
      </c>
      <c r="AC172" s="67">
        <f t="shared" si="130"/>
        <v>0</v>
      </c>
      <c r="AD172" s="67">
        <f t="shared" si="130"/>
        <v>0</v>
      </c>
      <c r="AE172" s="67">
        <f t="shared" si="130"/>
        <v>1056230</v>
      </c>
      <c r="AF172" s="67">
        <f t="shared" si="130"/>
        <v>0</v>
      </c>
      <c r="AG172" s="67">
        <f t="shared" si="130"/>
        <v>0</v>
      </c>
      <c r="AH172" s="67">
        <f t="shared" si="131"/>
        <v>75445</v>
      </c>
      <c r="AI172" s="67">
        <f t="shared" si="132"/>
        <v>75445</v>
      </c>
      <c r="AJ172" s="67">
        <f t="shared" si="132"/>
        <v>75445</v>
      </c>
      <c r="AK172" s="67"/>
      <c r="AL172" s="67"/>
      <c r="AM172" s="67"/>
      <c r="AN172" s="67">
        <f t="shared" si="133"/>
        <v>1282565</v>
      </c>
    </row>
    <row r="173" spans="2:40" outlineLevel="2" x14ac:dyDescent="0.25">
      <c r="B173" s="63" t="s">
        <v>258</v>
      </c>
      <c r="C173" s="64">
        <v>860035992</v>
      </c>
      <c r="D173" s="65" t="s">
        <v>266</v>
      </c>
      <c r="E173" s="66">
        <v>3</v>
      </c>
      <c r="F173" s="66">
        <v>0</v>
      </c>
      <c r="G173" s="66">
        <v>3017800</v>
      </c>
      <c r="H173" s="66">
        <f t="shared" si="98"/>
        <v>3017800</v>
      </c>
      <c r="I173" s="66">
        <v>0</v>
      </c>
      <c r="J173" s="66">
        <v>0</v>
      </c>
      <c r="K173" s="66">
        <v>0</v>
      </c>
      <c r="L173" s="66">
        <v>0</v>
      </c>
      <c r="M173" s="66">
        <v>0</v>
      </c>
      <c r="N173" s="66">
        <v>6437400</v>
      </c>
      <c r="O173" s="66">
        <v>0</v>
      </c>
      <c r="P173" s="66">
        <v>0</v>
      </c>
      <c r="Q173" s="67">
        <f t="shared" si="97"/>
        <v>9455200</v>
      </c>
      <c r="S173" s="68">
        <f t="shared" si="134"/>
        <v>1508900</v>
      </c>
      <c r="T173" s="67">
        <f t="shared" si="134"/>
        <v>0</v>
      </c>
      <c r="U173" s="67">
        <f t="shared" si="135"/>
        <v>0</v>
      </c>
      <c r="V173" s="67">
        <f t="shared" si="136"/>
        <v>0</v>
      </c>
      <c r="W173" s="67">
        <f t="shared" si="137"/>
        <v>0</v>
      </c>
      <c r="X173" s="67">
        <f t="shared" si="138"/>
        <v>0</v>
      </c>
      <c r="Y173" s="67">
        <f t="shared" si="139"/>
        <v>3973150</v>
      </c>
      <c r="Z173" s="67">
        <f t="shared" si="129"/>
        <v>5482050</v>
      </c>
      <c r="AA173" s="62"/>
      <c r="AB173" s="67">
        <f t="shared" si="130"/>
        <v>1508900</v>
      </c>
      <c r="AC173" s="67">
        <f t="shared" si="130"/>
        <v>0</v>
      </c>
      <c r="AD173" s="67">
        <f t="shared" si="130"/>
        <v>0</v>
      </c>
      <c r="AE173" s="67">
        <f t="shared" si="130"/>
        <v>0</v>
      </c>
      <c r="AF173" s="67">
        <f t="shared" si="130"/>
        <v>0</v>
      </c>
      <c r="AG173" s="67">
        <f t="shared" si="130"/>
        <v>0</v>
      </c>
      <c r="AH173" s="67">
        <f t="shared" si="131"/>
        <v>1324383.3333333333</v>
      </c>
      <c r="AI173" s="67">
        <f t="shared" si="132"/>
        <v>1324383.3333333333</v>
      </c>
      <c r="AJ173" s="67">
        <f t="shared" si="132"/>
        <v>1324383.3333333333</v>
      </c>
      <c r="AK173" s="67"/>
      <c r="AL173" s="67"/>
      <c r="AM173" s="67"/>
      <c r="AN173" s="67">
        <f t="shared" si="133"/>
        <v>5482049.9999999991</v>
      </c>
    </row>
    <row r="174" spans="2:40" outlineLevel="2" x14ac:dyDescent="0.25">
      <c r="B174" s="63" t="s">
        <v>258</v>
      </c>
      <c r="C174" s="64">
        <v>860037950</v>
      </c>
      <c r="D174" s="65" t="s">
        <v>267</v>
      </c>
      <c r="E174" s="66">
        <v>3</v>
      </c>
      <c r="F174" s="66">
        <v>0</v>
      </c>
      <c r="G174" s="66">
        <v>2083000</v>
      </c>
      <c r="H174" s="66">
        <f t="shared" si="98"/>
        <v>2083000</v>
      </c>
      <c r="I174" s="66">
        <v>0</v>
      </c>
      <c r="J174" s="66">
        <v>2083000</v>
      </c>
      <c r="K174" s="66">
        <v>0</v>
      </c>
      <c r="L174" s="66">
        <v>0</v>
      </c>
      <c r="M174" s="66">
        <v>0</v>
      </c>
      <c r="N174" s="66">
        <v>1602300</v>
      </c>
      <c r="O174" s="66">
        <v>0</v>
      </c>
      <c r="P174" s="66">
        <v>0</v>
      </c>
      <c r="Q174" s="67">
        <f t="shared" si="97"/>
        <v>5768300</v>
      </c>
      <c r="S174" s="68">
        <f t="shared" si="134"/>
        <v>1041500</v>
      </c>
      <c r="T174" s="67">
        <f t="shared" si="134"/>
        <v>0</v>
      </c>
      <c r="U174" s="67">
        <f t="shared" si="135"/>
        <v>1249800</v>
      </c>
      <c r="V174" s="67">
        <f t="shared" si="136"/>
        <v>0</v>
      </c>
      <c r="W174" s="67">
        <f t="shared" si="137"/>
        <v>0</v>
      </c>
      <c r="X174" s="67">
        <f t="shared" si="138"/>
        <v>0</v>
      </c>
      <c r="Y174" s="67">
        <f t="shared" si="139"/>
        <v>1738500</v>
      </c>
      <c r="Z174" s="67">
        <f t="shared" si="129"/>
        <v>4029800</v>
      </c>
      <c r="AA174" s="62"/>
      <c r="AB174" s="67">
        <f t="shared" si="130"/>
        <v>1041500</v>
      </c>
      <c r="AC174" s="67">
        <f t="shared" si="130"/>
        <v>0</v>
      </c>
      <c r="AD174" s="67">
        <f t="shared" si="130"/>
        <v>1249800</v>
      </c>
      <c r="AE174" s="67">
        <f t="shared" si="130"/>
        <v>0</v>
      </c>
      <c r="AF174" s="67">
        <f t="shared" si="130"/>
        <v>0</v>
      </c>
      <c r="AG174" s="67">
        <f t="shared" si="130"/>
        <v>0</v>
      </c>
      <c r="AH174" s="67">
        <f t="shared" si="131"/>
        <v>579500</v>
      </c>
      <c r="AI174" s="67">
        <f t="shared" si="132"/>
        <v>579500</v>
      </c>
      <c r="AJ174" s="67">
        <f t="shared" si="132"/>
        <v>579500</v>
      </c>
      <c r="AK174" s="67"/>
      <c r="AL174" s="67"/>
      <c r="AM174" s="67"/>
      <c r="AN174" s="67">
        <f t="shared" si="133"/>
        <v>4029800</v>
      </c>
    </row>
    <row r="175" spans="2:40" outlineLevel="2" x14ac:dyDescent="0.25">
      <c r="B175" s="63" t="s">
        <v>258</v>
      </c>
      <c r="C175" s="64">
        <v>890102768</v>
      </c>
      <c r="D175" s="65" t="s">
        <v>268</v>
      </c>
      <c r="E175" s="66">
        <v>1</v>
      </c>
      <c r="F175" s="66">
        <v>0</v>
      </c>
      <c r="G175" s="66">
        <v>0</v>
      </c>
      <c r="H175" s="66">
        <f t="shared" si="98"/>
        <v>0</v>
      </c>
      <c r="I175" s="66">
        <v>0</v>
      </c>
      <c r="J175" s="66">
        <v>0</v>
      </c>
      <c r="K175" s="66">
        <v>0</v>
      </c>
      <c r="L175" s="66">
        <v>0</v>
      </c>
      <c r="M175" s="66">
        <v>0</v>
      </c>
      <c r="N175" s="66">
        <v>1268360</v>
      </c>
      <c r="O175" s="66">
        <v>0</v>
      </c>
      <c r="P175" s="66">
        <v>0</v>
      </c>
      <c r="Q175" s="67">
        <f t="shared" si="97"/>
        <v>1268360</v>
      </c>
      <c r="S175" s="68">
        <f t="shared" si="134"/>
        <v>0</v>
      </c>
      <c r="T175" s="67">
        <f t="shared" si="134"/>
        <v>0</v>
      </c>
      <c r="U175" s="67">
        <f t="shared" si="135"/>
        <v>0</v>
      </c>
      <c r="V175" s="67">
        <f t="shared" si="136"/>
        <v>0</v>
      </c>
      <c r="W175" s="67">
        <f t="shared" si="137"/>
        <v>0</v>
      </c>
      <c r="X175" s="67">
        <f t="shared" si="138"/>
        <v>0</v>
      </c>
      <c r="Y175" s="67">
        <f t="shared" si="139"/>
        <v>634180</v>
      </c>
      <c r="Z175" s="67">
        <f t="shared" si="129"/>
        <v>634180</v>
      </c>
      <c r="AA175" s="62"/>
      <c r="AB175" s="67">
        <f t="shared" si="130"/>
        <v>0</v>
      </c>
      <c r="AC175" s="67">
        <f t="shared" si="130"/>
        <v>0</v>
      </c>
      <c r="AD175" s="67">
        <f t="shared" si="130"/>
        <v>0</v>
      </c>
      <c r="AE175" s="67">
        <f t="shared" si="130"/>
        <v>0</v>
      </c>
      <c r="AF175" s="67">
        <f t="shared" si="130"/>
        <v>0</v>
      </c>
      <c r="AG175" s="67">
        <f t="shared" si="130"/>
        <v>0</v>
      </c>
      <c r="AH175" s="67">
        <f t="shared" si="131"/>
        <v>211393.33333333334</v>
      </c>
      <c r="AI175" s="67">
        <f t="shared" si="132"/>
        <v>211393.33333333334</v>
      </c>
      <c r="AJ175" s="67">
        <f t="shared" si="132"/>
        <v>211393.33333333334</v>
      </c>
      <c r="AK175" s="67"/>
      <c r="AL175" s="67"/>
      <c r="AM175" s="67"/>
      <c r="AN175" s="67">
        <f t="shared" si="133"/>
        <v>634180</v>
      </c>
    </row>
    <row r="176" spans="2:40" outlineLevel="2" x14ac:dyDescent="0.25">
      <c r="B176" s="63" t="s">
        <v>258</v>
      </c>
      <c r="C176" s="64">
        <v>891180084</v>
      </c>
      <c r="D176" s="65" t="s">
        <v>269</v>
      </c>
      <c r="E176" s="66">
        <v>1</v>
      </c>
      <c r="F176" s="66">
        <v>0</v>
      </c>
      <c r="G176" s="66">
        <v>0</v>
      </c>
      <c r="H176" s="66">
        <f t="shared" si="98"/>
        <v>0</v>
      </c>
      <c r="I176" s="66">
        <v>0</v>
      </c>
      <c r="J176" s="66">
        <v>0</v>
      </c>
      <c r="K176" s="66">
        <v>0</v>
      </c>
      <c r="L176" s="66">
        <v>0</v>
      </c>
      <c r="M176" s="66">
        <v>0</v>
      </c>
      <c r="N176" s="66">
        <v>1045113</v>
      </c>
      <c r="O176" s="66">
        <v>0</v>
      </c>
      <c r="P176" s="66">
        <v>0</v>
      </c>
      <c r="Q176" s="67">
        <f t="shared" si="97"/>
        <v>1045113</v>
      </c>
      <c r="S176" s="68">
        <f t="shared" si="134"/>
        <v>0</v>
      </c>
      <c r="T176" s="67">
        <f t="shared" si="134"/>
        <v>0</v>
      </c>
      <c r="U176" s="67">
        <f t="shared" si="135"/>
        <v>0</v>
      </c>
      <c r="V176" s="67">
        <f t="shared" si="136"/>
        <v>0</v>
      </c>
      <c r="W176" s="67">
        <f t="shared" si="137"/>
        <v>0</v>
      </c>
      <c r="X176" s="67">
        <f t="shared" si="138"/>
        <v>0</v>
      </c>
      <c r="Y176" s="67">
        <f t="shared" si="139"/>
        <v>522556.5</v>
      </c>
      <c r="Z176" s="67">
        <f t="shared" si="129"/>
        <v>522556.5</v>
      </c>
      <c r="AA176" s="62"/>
      <c r="AB176" s="67">
        <f t="shared" si="130"/>
        <v>0</v>
      </c>
      <c r="AC176" s="67">
        <f t="shared" si="130"/>
        <v>0</v>
      </c>
      <c r="AD176" s="67">
        <f t="shared" si="130"/>
        <v>0</v>
      </c>
      <c r="AE176" s="67">
        <f t="shared" si="130"/>
        <v>0</v>
      </c>
      <c r="AF176" s="67">
        <f t="shared" si="130"/>
        <v>0</v>
      </c>
      <c r="AG176" s="67">
        <f t="shared" si="130"/>
        <v>0</v>
      </c>
      <c r="AH176" s="67">
        <f t="shared" si="131"/>
        <v>174185.5</v>
      </c>
      <c r="AI176" s="67">
        <f t="shared" si="132"/>
        <v>174185.5</v>
      </c>
      <c r="AJ176" s="67">
        <f t="shared" si="132"/>
        <v>174185.5</v>
      </c>
      <c r="AK176" s="67"/>
      <c r="AL176" s="67"/>
      <c r="AM176" s="67"/>
      <c r="AN176" s="67">
        <f t="shared" si="133"/>
        <v>522556.5</v>
      </c>
    </row>
    <row r="177" spans="2:40" outlineLevel="2" x14ac:dyDescent="0.25">
      <c r="B177" s="63" t="s">
        <v>258</v>
      </c>
      <c r="C177" s="64">
        <v>900033371</v>
      </c>
      <c r="D177" s="65" t="s">
        <v>270</v>
      </c>
      <c r="E177" s="66">
        <v>7</v>
      </c>
      <c r="F177" s="66">
        <v>0</v>
      </c>
      <c r="G177" s="66">
        <v>0</v>
      </c>
      <c r="H177" s="66">
        <f t="shared" si="98"/>
        <v>0</v>
      </c>
      <c r="I177" s="66">
        <v>0</v>
      </c>
      <c r="J177" s="66">
        <v>0</v>
      </c>
      <c r="K177" s="66">
        <v>0</v>
      </c>
      <c r="L177" s="66">
        <v>1667300</v>
      </c>
      <c r="M177" s="66">
        <v>0</v>
      </c>
      <c r="N177" s="66">
        <v>4099009</v>
      </c>
      <c r="O177" s="66">
        <v>0</v>
      </c>
      <c r="P177" s="66">
        <v>0</v>
      </c>
      <c r="Q177" s="67">
        <f t="shared" si="97"/>
        <v>5766309</v>
      </c>
      <c r="S177" s="68">
        <f t="shared" si="134"/>
        <v>0</v>
      </c>
      <c r="T177" s="67">
        <f t="shared" si="134"/>
        <v>0</v>
      </c>
      <c r="U177" s="67">
        <f t="shared" si="135"/>
        <v>0</v>
      </c>
      <c r="V177" s="67">
        <f t="shared" si="136"/>
        <v>0</v>
      </c>
      <c r="W177" s="67">
        <f t="shared" si="137"/>
        <v>1167110</v>
      </c>
      <c r="X177" s="67">
        <f t="shared" si="138"/>
        <v>0</v>
      </c>
      <c r="Y177" s="67">
        <f t="shared" si="139"/>
        <v>2299599.5</v>
      </c>
      <c r="Z177" s="67">
        <f t="shared" si="129"/>
        <v>3466709.5</v>
      </c>
      <c r="AA177" s="62"/>
      <c r="AB177" s="67">
        <f t="shared" si="130"/>
        <v>0</v>
      </c>
      <c r="AC177" s="67">
        <f t="shared" si="130"/>
        <v>0</v>
      </c>
      <c r="AD177" s="67">
        <f t="shared" si="130"/>
        <v>0</v>
      </c>
      <c r="AE177" s="67">
        <f t="shared" si="130"/>
        <v>0</v>
      </c>
      <c r="AF177" s="67">
        <f t="shared" si="130"/>
        <v>1167110</v>
      </c>
      <c r="AG177" s="67">
        <f t="shared" si="130"/>
        <v>0</v>
      </c>
      <c r="AH177" s="67">
        <f t="shared" si="131"/>
        <v>766533.16666666663</v>
      </c>
      <c r="AI177" s="67">
        <f t="shared" si="132"/>
        <v>766533.16666666663</v>
      </c>
      <c r="AJ177" s="67">
        <f t="shared" si="132"/>
        <v>766533.16666666663</v>
      </c>
      <c r="AK177" s="67"/>
      <c r="AL177" s="67"/>
      <c r="AM177" s="67"/>
      <c r="AN177" s="67">
        <f t="shared" si="133"/>
        <v>3466709.4999999995</v>
      </c>
    </row>
    <row r="178" spans="2:40" outlineLevel="2" x14ac:dyDescent="0.25">
      <c r="B178" s="63" t="s">
        <v>258</v>
      </c>
      <c r="C178" s="64">
        <v>900256090</v>
      </c>
      <c r="D178" s="65" t="s">
        <v>271</v>
      </c>
      <c r="E178" s="66">
        <v>4</v>
      </c>
      <c r="F178" s="66">
        <v>0</v>
      </c>
      <c r="G178" s="66">
        <v>0</v>
      </c>
      <c r="H178" s="66">
        <f t="shared" si="98"/>
        <v>0</v>
      </c>
      <c r="I178" s="66">
        <v>0</v>
      </c>
      <c r="J178" s="66">
        <v>0</v>
      </c>
      <c r="K178" s="66">
        <v>0</v>
      </c>
      <c r="L178" s="66">
        <v>0</v>
      </c>
      <c r="M178" s="66">
        <v>0</v>
      </c>
      <c r="N178" s="66">
        <v>2411700</v>
      </c>
      <c r="O178" s="66">
        <v>0</v>
      </c>
      <c r="P178" s="66">
        <v>0</v>
      </c>
      <c r="Q178" s="67">
        <f t="shared" si="97"/>
        <v>2411700</v>
      </c>
      <c r="S178" s="68">
        <f t="shared" si="134"/>
        <v>0</v>
      </c>
      <c r="T178" s="67">
        <f t="shared" si="134"/>
        <v>0</v>
      </c>
      <c r="U178" s="67">
        <f t="shared" si="135"/>
        <v>0</v>
      </c>
      <c r="V178" s="67">
        <f t="shared" si="136"/>
        <v>0</v>
      </c>
      <c r="W178" s="67">
        <f t="shared" si="137"/>
        <v>0</v>
      </c>
      <c r="X178" s="67">
        <f t="shared" si="138"/>
        <v>0</v>
      </c>
      <c r="Y178" s="67">
        <f t="shared" si="139"/>
        <v>1205850</v>
      </c>
      <c r="Z178" s="67">
        <f t="shared" si="129"/>
        <v>1205850</v>
      </c>
      <c r="AA178" s="62"/>
      <c r="AB178" s="67">
        <f t="shared" si="130"/>
        <v>0</v>
      </c>
      <c r="AC178" s="67">
        <f t="shared" si="130"/>
        <v>0</v>
      </c>
      <c r="AD178" s="67">
        <f t="shared" si="130"/>
        <v>0</v>
      </c>
      <c r="AE178" s="67">
        <f t="shared" si="130"/>
        <v>0</v>
      </c>
      <c r="AF178" s="67">
        <f t="shared" si="130"/>
        <v>0</v>
      </c>
      <c r="AG178" s="67">
        <f t="shared" si="130"/>
        <v>0</v>
      </c>
      <c r="AH178" s="67">
        <f t="shared" si="131"/>
        <v>401950</v>
      </c>
      <c r="AI178" s="67">
        <f t="shared" si="132"/>
        <v>401950</v>
      </c>
      <c r="AJ178" s="67">
        <f t="shared" si="132"/>
        <v>401950</v>
      </c>
      <c r="AK178" s="67"/>
      <c r="AL178" s="67"/>
      <c r="AM178" s="67"/>
      <c r="AN178" s="67">
        <f t="shared" si="133"/>
        <v>1205850</v>
      </c>
    </row>
    <row r="179" spans="2:40" outlineLevel="2" x14ac:dyDescent="0.25">
      <c r="B179" s="63" t="s">
        <v>258</v>
      </c>
      <c r="C179" s="64">
        <v>900357414</v>
      </c>
      <c r="D179" s="65" t="s">
        <v>272</v>
      </c>
      <c r="E179" s="66">
        <v>1</v>
      </c>
      <c r="F179" s="66">
        <v>0</v>
      </c>
      <c r="G179" s="66">
        <v>0</v>
      </c>
      <c r="H179" s="66">
        <f t="shared" si="98"/>
        <v>0</v>
      </c>
      <c r="I179" s="66">
        <v>0</v>
      </c>
      <c r="J179" s="66">
        <v>0</v>
      </c>
      <c r="K179" s="66">
        <v>0</v>
      </c>
      <c r="L179" s="66">
        <v>0</v>
      </c>
      <c r="M179" s="66">
        <v>0</v>
      </c>
      <c r="N179" s="66">
        <v>3757220</v>
      </c>
      <c r="O179" s="66">
        <v>0</v>
      </c>
      <c r="P179" s="66">
        <v>0</v>
      </c>
      <c r="Q179" s="67">
        <f>SUM(H179:P179)</f>
        <v>3757220</v>
      </c>
      <c r="S179" s="68">
        <f t="shared" si="134"/>
        <v>0</v>
      </c>
      <c r="T179" s="67">
        <f t="shared" si="134"/>
        <v>0</v>
      </c>
      <c r="U179" s="67">
        <f t="shared" si="135"/>
        <v>0</v>
      </c>
      <c r="V179" s="67">
        <f t="shared" si="136"/>
        <v>0</v>
      </c>
      <c r="W179" s="67">
        <f t="shared" si="137"/>
        <v>0</v>
      </c>
      <c r="X179" s="67">
        <f t="shared" si="138"/>
        <v>0</v>
      </c>
      <c r="Y179" s="67">
        <f t="shared" si="139"/>
        <v>1878610</v>
      </c>
      <c r="Z179" s="67">
        <f t="shared" si="129"/>
        <v>1878610</v>
      </c>
      <c r="AA179" s="62"/>
      <c r="AB179" s="67">
        <f t="shared" si="130"/>
        <v>0</v>
      </c>
      <c r="AC179" s="67">
        <f t="shared" si="130"/>
        <v>0</v>
      </c>
      <c r="AD179" s="67">
        <f t="shared" si="130"/>
        <v>0</v>
      </c>
      <c r="AE179" s="67">
        <f t="shared" si="130"/>
        <v>0</v>
      </c>
      <c r="AF179" s="67">
        <f t="shared" si="130"/>
        <v>0</v>
      </c>
      <c r="AG179" s="67">
        <f t="shared" si="130"/>
        <v>0</v>
      </c>
      <c r="AH179" s="67">
        <f t="shared" si="131"/>
        <v>626203.33333333337</v>
      </c>
      <c r="AI179" s="67">
        <f t="shared" si="132"/>
        <v>626203.33333333337</v>
      </c>
      <c r="AJ179" s="67">
        <f t="shared" si="132"/>
        <v>626203.33333333337</v>
      </c>
      <c r="AK179" s="67"/>
      <c r="AL179" s="67"/>
      <c r="AM179" s="67"/>
      <c r="AN179" s="67">
        <f t="shared" si="133"/>
        <v>1878610</v>
      </c>
    </row>
    <row r="180" spans="2:40" outlineLevel="2" x14ac:dyDescent="0.25">
      <c r="B180" s="63" t="s">
        <v>258</v>
      </c>
      <c r="C180" s="64">
        <v>901126913</v>
      </c>
      <c r="D180" s="65" t="s">
        <v>273</v>
      </c>
      <c r="E180" s="66">
        <v>4</v>
      </c>
      <c r="F180" s="66">
        <v>0</v>
      </c>
      <c r="G180" s="66">
        <v>0</v>
      </c>
      <c r="H180" s="66">
        <f t="shared" si="98"/>
        <v>0</v>
      </c>
      <c r="I180" s="66">
        <v>0</v>
      </c>
      <c r="J180" s="66">
        <v>0</v>
      </c>
      <c r="K180" s="66">
        <v>0</v>
      </c>
      <c r="L180" s="66">
        <v>0</v>
      </c>
      <c r="M180" s="66">
        <v>0</v>
      </c>
      <c r="N180" s="66">
        <v>1156813</v>
      </c>
      <c r="O180" s="66">
        <v>0</v>
      </c>
      <c r="P180" s="66">
        <v>0</v>
      </c>
      <c r="Q180" s="67">
        <f>SUM(H180:P180)</f>
        <v>1156813</v>
      </c>
      <c r="S180" s="68">
        <f t="shared" si="134"/>
        <v>0</v>
      </c>
      <c r="T180" s="67">
        <f t="shared" si="134"/>
        <v>0</v>
      </c>
      <c r="U180" s="67">
        <f t="shared" si="135"/>
        <v>0</v>
      </c>
      <c r="V180" s="67">
        <f t="shared" si="136"/>
        <v>0</v>
      </c>
      <c r="W180" s="67">
        <f t="shared" si="137"/>
        <v>0</v>
      </c>
      <c r="X180" s="67">
        <f t="shared" si="138"/>
        <v>0</v>
      </c>
      <c r="Y180" s="67">
        <f t="shared" si="139"/>
        <v>578406.5</v>
      </c>
      <c r="Z180" s="67">
        <f t="shared" si="129"/>
        <v>578406.5</v>
      </c>
      <c r="AA180" s="62"/>
      <c r="AB180" s="67">
        <f t="shared" si="130"/>
        <v>0</v>
      </c>
      <c r="AC180" s="67">
        <f t="shared" si="130"/>
        <v>0</v>
      </c>
      <c r="AD180" s="67">
        <f t="shared" si="130"/>
        <v>0</v>
      </c>
      <c r="AE180" s="67">
        <f t="shared" si="130"/>
        <v>0</v>
      </c>
      <c r="AF180" s="67">
        <f t="shared" si="130"/>
        <v>0</v>
      </c>
      <c r="AG180" s="67">
        <f t="shared" si="130"/>
        <v>0</v>
      </c>
      <c r="AH180" s="67">
        <f t="shared" si="131"/>
        <v>192802.16666666666</v>
      </c>
      <c r="AI180" s="67">
        <f t="shared" si="132"/>
        <v>192802.16666666666</v>
      </c>
      <c r="AJ180" s="67">
        <f t="shared" si="132"/>
        <v>192802.16666666666</v>
      </c>
      <c r="AK180" s="67"/>
      <c r="AL180" s="67"/>
      <c r="AM180" s="67"/>
      <c r="AN180" s="67">
        <f t="shared" si="133"/>
        <v>578406.5</v>
      </c>
    </row>
    <row r="181" spans="2:40" outlineLevel="2" x14ac:dyDescent="0.25">
      <c r="B181" s="63" t="s">
        <v>258</v>
      </c>
      <c r="C181" s="64">
        <v>901127065</v>
      </c>
      <c r="D181" s="65" t="s">
        <v>274</v>
      </c>
      <c r="E181" s="66">
        <v>1</v>
      </c>
      <c r="F181" s="66">
        <v>0</v>
      </c>
      <c r="G181" s="66">
        <v>0</v>
      </c>
      <c r="H181" s="66">
        <f t="shared" si="98"/>
        <v>0</v>
      </c>
      <c r="I181" s="66">
        <v>0</v>
      </c>
      <c r="J181" s="66">
        <v>0</v>
      </c>
      <c r="K181" s="66">
        <v>0</v>
      </c>
      <c r="L181" s="66">
        <v>0</v>
      </c>
      <c r="M181" s="66">
        <v>0</v>
      </c>
      <c r="N181" s="66">
        <v>1262581</v>
      </c>
      <c r="O181" s="66">
        <v>0</v>
      </c>
      <c r="P181" s="66">
        <v>0</v>
      </c>
      <c r="Q181" s="67">
        <f>SUM(H181:P181)</f>
        <v>1262581</v>
      </c>
      <c r="S181" s="68">
        <f t="shared" si="134"/>
        <v>0</v>
      </c>
      <c r="T181" s="67">
        <f t="shared" si="134"/>
        <v>0</v>
      </c>
      <c r="U181" s="67">
        <f t="shared" si="135"/>
        <v>0</v>
      </c>
      <c r="V181" s="67">
        <f t="shared" si="136"/>
        <v>0</v>
      </c>
      <c r="W181" s="67">
        <f t="shared" si="137"/>
        <v>0</v>
      </c>
      <c r="X181" s="67">
        <f t="shared" si="138"/>
        <v>0</v>
      </c>
      <c r="Y181" s="67">
        <f t="shared" si="139"/>
        <v>631290.5</v>
      </c>
      <c r="Z181" s="67">
        <f t="shared" si="129"/>
        <v>631290.5</v>
      </c>
      <c r="AA181" s="62"/>
      <c r="AB181" s="67">
        <f t="shared" si="130"/>
        <v>0</v>
      </c>
      <c r="AC181" s="67">
        <f t="shared" si="130"/>
        <v>0</v>
      </c>
      <c r="AD181" s="67">
        <f t="shared" si="130"/>
        <v>0</v>
      </c>
      <c r="AE181" s="67">
        <f t="shared" si="130"/>
        <v>0</v>
      </c>
      <c r="AF181" s="67">
        <f t="shared" si="130"/>
        <v>0</v>
      </c>
      <c r="AG181" s="67">
        <f t="shared" si="130"/>
        <v>0</v>
      </c>
      <c r="AH181" s="67">
        <f t="shared" si="131"/>
        <v>210430.16666666666</v>
      </c>
      <c r="AI181" s="67">
        <f t="shared" ref="AI181:AJ184" si="140">+AH181</f>
        <v>210430.16666666666</v>
      </c>
      <c r="AJ181" s="67">
        <f t="shared" si="140"/>
        <v>210430.16666666666</v>
      </c>
      <c r="AK181" s="67"/>
      <c r="AL181" s="67"/>
      <c r="AM181" s="67"/>
      <c r="AN181" s="67">
        <f t="shared" si="133"/>
        <v>631290.5</v>
      </c>
    </row>
    <row r="182" spans="2:40" outlineLevel="2" x14ac:dyDescent="0.25">
      <c r="B182" s="63" t="s">
        <v>258</v>
      </c>
      <c r="C182" s="64">
        <v>901127521</v>
      </c>
      <c r="D182" s="65" t="s">
        <v>275</v>
      </c>
      <c r="E182" s="66">
        <v>1</v>
      </c>
      <c r="F182" s="66">
        <v>2195600</v>
      </c>
      <c r="G182" s="66">
        <v>1689293</v>
      </c>
      <c r="H182" s="66">
        <f t="shared" si="98"/>
        <v>3884893</v>
      </c>
      <c r="I182" s="66">
        <v>0</v>
      </c>
      <c r="J182" s="66">
        <v>0</v>
      </c>
      <c r="K182" s="66">
        <v>0</v>
      </c>
      <c r="L182" s="66">
        <v>0</v>
      </c>
      <c r="M182" s="66">
        <v>0</v>
      </c>
      <c r="N182" s="66">
        <v>0</v>
      </c>
      <c r="O182" s="66">
        <v>0</v>
      </c>
      <c r="P182" s="66">
        <v>0</v>
      </c>
      <c r="Q182" s="67">
        <f>SUM(H182:P182)</f>
        <v>3884893</v>
      </c>
      <c r="S182" s="68">
        <f t="shared" si="134"/>
        <v>1942446.5</v>
      </c>
      <c r="T182" s="67">
        <f t="shared" si="134"/>
        <v>0</v>
      </c>
      <c r="U182" s="67">
        <f t="shared" si="135"/>
        <v>0</v>
      </c>
      <c r="V182" s="67">
        <f t="shared" si="136"/>
        <v>0</v>
      </c>
      <c r="W182" s="67">
        <f t="shared" si="137"/>
        <v>0</v>
      </c>
      <c r="X182" s="67">
        <f t="shared" si="138"/>
        <v>0</v>
      </c>
      <c r="Y182" s="67">
        <f t="shared" si="139"/>
        <v>971223.25</v>
      </c>
      <c r="Z182" s="67">
        <f t="shared" si="129"/>
        <v>2913669.75</v>
      </c>
      <c r="AA182" s="62"/>
      <c r="AB182" s="67">
        <f t="shared" si="130"/>
        <v>1942446.5</v>
      </c>
      <c r="AC182" s="67">
        <f t="shared" si="130"/>
        <v>0</v>
      </c>
      <c r="AD182" s="67">
        <f t="shared" si="130"/>
        <v>0</v>
      </c>
      <c r="AE182" s="67">
        <f t="shared" si="130"/>
        <v>0</v>
      </c>
      <c r="AF182" s="67">
        <f t="shared" si="130"/>
        <v>0</v>
      </c>
      <c r="AG182" s="67">
        <f t="shared" si="130"/>
        <v>0</v>
      </c>
      <c r="AH182" s="67">
        <f t="shared" si="131"/>
        <v>323741.08333333331</v>
      </c>
      <c r="AI182" s="67">
        <f t="shared" si="140"/>
        <v>323741.08333333331</v>
      </c>
      <c r="AJ182" s="67">
        <f t="shared" si="140"/>
        <v>323741.08333333331</v>
      </c>
      <c r="AK182" s="67"/>
      <c r="AL182" s="67"/>
      <c r="AM182" s="67"/>
      <c r="AN182" s="67">
        <f t="shared" si="133"/>
        <v>2913669.7500000005</v>
      </c>
    </row>
    <row r="183" spans="2:40" outlineLevel="2" x14ac:dyDescent="0.25">
      <c r="B183" s="63" t="s">
        <v>258</v>
      </c>
      <c r="C183" s="64">
        <v>901153056</v>
      </c>
      <c r="D183" s="65" t="s">
        <v>276</v>
      </c>
      <c r="E183" s="66">
        <v>6</v>
      </c>
      <c r="F183" s="66">
        <v>0</v>
      </c>
      <c r="G183" s="66">
        <v>0</v>
      </c>
      <c r="H183" s="66">
        <f t="shared" si="98"/>
        <v>0</v>
      </c>
      <c r="I183" s="66">
        <v>0</v>
      </c>
      <c r="J183" s="66">
        <v>0</v>
      </c>
      <c r="K183" s="66">
        <v>0</v>
      </c>
      <c r="L183" s="66">
        <v>0</v>
      </c>
      <c r="M183" s="66">
        <v>0</v>
      </c>
      <c r="N183" s="66">
        <v>1210079</v>
      </c>
      <c r="O183" s="66">
        <v>0</v>
      </c>
      <c r="P183" s="66">
        <v>0</v>
      </c>
      <c r="Q183" s="67">
        <f t="shared" ref="Q183:Q206" si="141">SUM(H183:P183)</f>
        <v>1210079</v>
      </c>
      <c r="S183" s="68">
        <f t="shared" si="134"/>
        <v>0</v>
      </c>
      <c r="T183" s="67">
        <f t="shared" si="134"/>
        <v>0</v>
      </c>
      <c r="U183" s="67">
        <f t="shared" si="135"/>
        <v>0</v>
      </c>
      <c r="V183" s="67">
        <f t="shared" si="136"/>
        <v>0</v>
      </c>
      <c r="W183" s="67">
        <f t="shared" si="137"/>
        <v>0</v>
      </c>
      <c r="X183" s="67">
        <f t="shared" si="138"/>
        <v>0</v>
      </c>
      <c r="Y183" s="67">
        <f t="shared" si="139"/>
        <v>605039.5</v>
      </c>
      <c r="Z183" s="67">
        <f t="shared" si="129"/>
        <v>605039.5</v>
      </c>
      <c r="AA183" s="62"/>
      <c r="AB183" s="67">
        <f t="shared" si="130"/>
        <v>0</v>
      </c>
      <c r="AC183" s="67">
        <f t="shared" si="130"/>
        <v>0</v>
      </c>
      <c r="AD183" s="67">
        <f t="shared" si="130"/>
        <v>0</v>
      </c>
      <c r="AE183" s="67">
        <f t="shared" si="130"/>
        <v>0</v>
      </c>
      <c r="AF183" s="67">
        <f t="shared" si="130"/>
        <v>0</v>
      </c>
      <c r="AG183" s="67">
        <f t="shared" si="130"/>
        <v>0</v>
      </c>
      <c r="AH183" s="67">
        <f t="shared" si="131"/>
        <v>201679.83333333334</v>
      </c>
      <c r="AI183" s="67">
        <f t="shared" si="140"/>
        <v>201679.83333333334</v>
      </c>
      <c r="AJ183" s="67">
        <f t="shared" si="140"/>
        <v>201679.83333333334</v>
      </c>
      <c r="AK183" s="67"/>
      <c r="AL183" s="67"/>
      <c r="AM183" s="67"/>
      <c r="AN183" s="67">
        <f t="shared" si="133"/>
        <v>605039.5</v>
      </c>
    </row>
    <row r="184" spans="2:40" ht="12" outlineLevel="2" thickBot="1" x14ac:dyDescent="0.3">
      <c r="B184" s="63" t="s">
        <v>258</v>
      </c>
      <c r="C184" s="64">
        <v>901153500</v>
      </c>
      <c r="D184" s="65" t="s">
        <v>277</v>
      </c>
      <c r="E184" s="66">
        <v>4</v>
      </c>
      <c r="F184" s="66">
        <v>0</v>
      </c>
      <c r="G184" s="66">
        <v>0</v>
      </c>
      <c r="H184" s="66">
        <f t="shared" si="98"/>
        <v>0</v>
      </c>
      <c r="I184" s="66">
        <v>0</v>
      </c>
      <c r="J184" s="66">
        <v>0</v>
      </c>
      <c r="K184" s="66">
        <v>0</v>
      </c>
      <c r="L184" s="66">
        <v>0</v>
      </c>
      <c r="M184" s="66">
        <v>0</v>
      </c>
      <c r="N184" s="66">
        <v>1484312</v>
      </c>
      <c r="O184" s="66">
        <v>0</v>
      </c>
      <c r="P184" s="66">
        <v>0</v>
      </c>
      <c r="Q184" s="67">
        <f t="shared" si="141"/>
        <v>1484312</v>
      </c>
      <c r="S184" s="68">
        <f t="shared" si="134"/>
        <v>0</v>
      </c>
      <c r="T184" s="67">
        <f t="shared" si="134"/>
        <v>0</v>
      </c>
      <c r="U184" s="67">
        <f t="shared" si="135"/>
        <v>0</v>
      </c>
      <c r="V184" s="67">
        <f t="shared" si="136"/>
        <v>0</v>
      </c>
      <c r="W184" s="67">
        <f t="shared" si="137"/>
        <v>0</v>
      </c>
      <c r="X184" s="67">
        <f t="shared" si="138"/>
        <v>0</v>
      </c>
      <c r="Y184" s="67">
        <f t="shared" si="139"/>
        <v>742156</v>
      </c>
      <c r="Z184" s="67">
        <f t="shared" si="129"/>
        <v>742156</v>
      </c>
      <c r="AA184" s="62"/>
      <c r="AB184" s="67">
        <f t="shared" si="130"/>
        <v>0</v>
      </c>
      <c r="AC184" s="67">
        <f t="shared" si="130"/>
        <v>0</v>
      </c>
      <c r="AD184" s="67">
        <f t="shared" si="130"/>
        <v>0</v>
      </c>
      <c r="AE184" s="67">
        <f t="shared" si="130"/>
        <v>0</v>
      </c>
      <c r="AF184" s="67">
        <f t="shared" si="130"/>
        <v>0</v>
      </c>
      <c r="AG184" s="67">
        <f t="shared" si="130"/>
        <v>0</v>
      </c>
      <c r="AH184" s="67">
        <f t="shared" si="131"/>
        <v>247385.33333333334</v>
      </c>
      <c r="AI184" s="67">
        <f t="shared" si="140"/>
        <v>247385.33333333334</v>
      </c>
      <c r="AJ184" s="67">
        <f t="shared" si="140"/>
        <v>247385.33333333334</v>
      </c>
      <c r="AK184" s="67"/>
      <c r="AL184" s="67"/>
      <c r="AM184" s="67"/>
      <c r="AN184" s="67">
        <f t="shared" si="133"/>
        <v>742156</v>
      </c>
    </row>
    <row r="185" spans="2:40" ht="12" outlineLevel="1" thickBot="1" x14ac:dyDescent="0.3">
      <c r="B185" s="75" t="s">
        <v>278</v>
      </c>
      <c r="C185" s="76"/>
      <c r="D185" s="76"/>
      <c r="E185" s="77">
        <f t="shared" ref="E185:Z185" si="142">SUBTOTAL(9,E165:E184)</f>
        <v>65</v>
      </c>
      <c r="F185" s="77">
        <f t="shared" si="142"/>
        <v>2645969.15</v>
      </c>
      <c r="G185" s="77">
        <f t="shared" si="142"/>
        <v>13245705</v>
      </c>
      <c r="H185" s="77">
        <f t="shared" si="142"/>
        <v>15891674.15</v>
      </c>
      <c r="I185" s="77">
        <f t="shared" si="142"/>
        <v>0</v>
      </c>
      <c r="J185" s="77">
        <f t="shared" si="142"/>
        <v>12821000</v>
      </c>
      <c r="K185" s="77">
        <f t="shared" si="142"/>
        <v>8118600</v>
      </c>
      <c r="L185" s="77">
        <f t="shared" si="142"/>
        <v>2361398</v>
      </c>
      <c r="M185" s="77">
        <f t="shared" si="142"/>
        <v>813902</v>
      </c>
      <c r="N185" s="77">
        <f t="shared" si="142"/>
        <v>57977864.5</v>
      </c>
      <c r="O185" s="77">
        <f t="shared" si="142"/>
        <v>0</v>
      </c>
      <c r="P185" s="77">
        <f t="shared" si="142"/>
        <v>-3134700</v>
      </c>
      <c r="Q185" s="78">
        <f t="shared" si="142"/>
        <v>94849738.650000006</v>
      </c>
      <c r="S185" s="79">
        <f t="shared" si="142"/>
        <v>7945837.0750000002</v>
      </c>
      <c r="T185" s="78">
        <f t="shared" si="142"/>
        <v>0</v>
      </c>
      <c r="U185" s="78">
        <f t="shared" si="142"/>
        <v>7692600</v>
      </c>
      <c r="V185" s="78">
        <f t="shared" si="142"/>
        <v>5683020</v>
      </c>
      <c r="W185" s="78">
        <f t="shared" si="142"/>
        <v>1652978.6</v>
      </c>
      <c r="X185" s="78">
        <f t="shared" si="142"/>
        <v>610426.5</v>
      </c>
      <c r="Y185" s="78">
        <f t="shared" si="142"/>
        <v>35934218.237499997</v>
      </c>
      <c r="Z185" s="78">
        <f t="shared" si="142"/>
        <v>59519080.412500001</v>
      </c>
      <c r="AA185" s="62"/>
      <c r="AB185" s="78">
        <f t="shared" ref="AB185:AN185" si="143">SUBTOTAL(9,AB165:AB184)</f>
        <v>7945837.0750000002</v>
      </c>
      <c r="AC185" s="78">
        <f t="shared" si="143"/>
        <v>0</v>
      </c>
      <c r="AD185" s="78">
        <f t="shared" si="143"/>
        <v>7692600</v>
      </c>
      <c r="AE185" s="78">
        <f t="shared" si="143"/>
        <v>5683020</v>
      </c>
      <c r="AF185" s="78">
        <f t="shared" si="143"/>
        <v>1652978.6</v>
      </c>
      <c r="AG185" s="78">
        <f t="shared" si="143"/>
        <v>610426.5</v>
      </c>
      <c r="AH185" s="78">
        <f t="shared" si="143"/>
        <v>11978072.745833334</v>
      </c>
      <c r="AI185" s="78">
        <f t="shared" si="143"/>
        <v>11978072.745833334</v>
      </c>
      <c r="AJ185" s="78">
        <f t="shared" si="143"/>
        <v>11978072.745833334</v>
      </c>
      <c r="AK185" s="78">
        <f t="shared" si="143"/>
        <v>0</v>
      </c>
      <c r="AL185" s="78">
        <f t="shared" si="143"/>
        <v>0</v>
      </c>
      <c r="AM185" s="78">
        <f t="shared" si="143"/>
        <v>0</v>
      </c>
      <c r="AN185" s="78">
        <f t="shared" si="143"/>
        <v>59519080.412500001</v>
      </c>
    </row>
    <row r="186" spans="2:40" outlineLevel="2" x14ac:dyDescent="0.25">
      <c r="B186" s="63" t="s">
        <v>279</v>
      </c>
      <c r="C186" s="64">
        <v>800197177</v>
      </c>
      <c r="D186" s="65" t="s">
        <v>280</v>
      </c>
      <c r="E186" s="66">
        <v>1</v>
      </c>
      <c r="F186" s="66">
        <v>0</v>
      </c>
      <c r="G186" s="66">
        <v>0</v>
      </c>
      <c r="H186" s="66">
        <f t="shared" si="98"/>
        <v>0</v>
      </c>
      <c r="I186" s="66">
        <v>0</v>
      </c>
      <c r="J186" s="66">
        <v>0</v>
      </c>
      <c r="K186" s="66">
        <v>0</v>
      </c>
      <c r="L186" s="66">
        <v>0</v>
      </c>
      <c r="M186" s="66">
        <v>0</v>
      </c>
      <c r="N186" s="66">
        <v>714236036</v>
      </c>
      <c r="O186" s="66">
        <v>0</v>
      </c>
      <c r="P186" s="66">
        <v>0</v>
      </c>
      <c r="Q186" s="67">
        <f t="shared" si="141"/>
        <v>714236036</v>
      </c>
      <c r="S186" s="68">
        <f t="shared" ref="S186:T189" si="144">+H186*50%</f>
        <v>0</v>
      </c>
      <c r="T186" s="67">
        <f t="shared" si="144"/>
        <v>0</v>
      </c>
      <c r="U186" s="67">
        <f t="shared" ref="U186:U189" si="145">+J186*60%</f>
        <v>0</v>
      </c>
      <c r="V186" s="67">
        <f t="shared" ref="V186:V189" si="146">+K186*70%</f>
        <v>0</v>
      </c>
      <c r="W186" s="67">
        <f t="shared" ref="W186:W189" si="147">+L186*0.7</f>
        <v>0</v>
      </c>
      <c r="X186" s="67">
        <f t="shared" ref="X186:X189" si="148">+M186*0.75</f>
        <v>0</v>
      </c>
      <c r="Y186" s="67">
        <f t="shared" ref="Y186:Y189" si="149">(Q186-S186-T186-U186-V186-W186-X186)*50%</f>
        <v>357118018</v>
      </c>
      <c r="Z186" s="67">
        <f t="shared" ref="Z186:Z189" si="150">+SUM(S186:Y186)</f>
        <v>357118018</v>
      </c>
      <c r="AA186" s="62"/>
      <c r="AB186" s="67">
        <f t="shared" ref="AB186:AG189" si="151">+S186</f>
        <v>0</v>
      </c>
      <c r="AC186" s="67">
        <f t="shared" si="151"/>
        <v>0</v>
      </c>
      <c r="AD186" s="67">
        <f t="shared" si="151"/>
        <v>0</v>
      </c>
      <c r="AE186" s="67">
        <f t="shared" si="151"/>
        <v>0</v>
      </c>
      <c r="AF186" s="67">
        <f t="shared" si="151"/>
        <v>0</v>
      </c>
      <c r="AG186" s="67">
        <f t="shared" si="151"/>
        <v>0</v>
      </c>
      <c r="AH186" s="67">
        <f t="shared" ref="AH186:AH189" si="152">+Y186/3</f>
        <v>119039339.33333333</v>
      </c>
      <c r="AI186" s="67">
        <f t="shared" ref="AI186:AJ189" si="153">+AH186</f>
        <v>119039339.33333333</v>
      </c>
      <c r="AJ186" s="67">
        <f t="shared" si="153"/>
        <v>119039339.33333333</v>
      </c>
      <c r="AK186" s="67"/>
      <c r="AL186" s="67"/>
      <c r="AM186" s="67"/>
      <c r="AN186" s="67">
        <f t="shared" ref="AN186:AN189" si="154">+SUM(AB186:AM186)</f>
        <v>357118018</v>
      </c>
    </row>
    <row r="187" spans="2:40" outlineLevel="2" x14ac:dyDescent="0.25">
      <c r="B187" s="63" t="s">
        <v>279</v>
      </c>
      <c r="C187" s="64">
        <v>800216538</v>
      </c>
      <c r="D187" s="65" t="s">
        <v>281</v>
      </c>
      <c r="E187" s="66">
        <v>1</v>
      </c>
      <c r="F187" s="66">
        <v>0</v>
      </c>
      <c r="G187" s="66">
        <v>0</v>
      </c>
      <c r="H187" s="66">
        <f t="shared" si="98"/>
        <v>0</v>
      </c>
      <c r="I187" s="66">
        <v>0</v>
      </c>
      <c r="J187" s="66">
        <v>0</v>
      </c>
      <c r="K187" s="66">
        <v>0</v>
      </c>
      <c r="L187" s="66">
        <v>0</v>
      </c>
      <c r="M187" s="66">
        <v>0</v>
      </c>
      <c r="N187" s="66">
        <v>24794908</v>
      </c>
      <c r="O187" s="66">
        <v>0</v>
      </c>
      <c r="P187" s="66">
        <v>0</v>
      </c>
      <c r="Q187" s="67">
        <f t="shared" si="141"/>
        <v>24794908</v>
      </c>
      <c r="S187" s="68">
        <f t="shared" si="144"/>
        <v>0</v>
      </c>
      <c r="T187" s="67">
        <f t="shared" si="144"/>
        <v>0</v>
      </c>
      <c r="U187" s="67">
        <f t="shared" si="145"/>
        <v>0</v>
      </c>
      <c r="V187" s="67">
        <f t="shared" si="146"/>
        <v>0</v>
      </c>
      <c r="W187" s="67">
        <f t="shared" si="147"/>
        <v>0</v>
      </c>
      <c r="X187" s="67">
        <f t="shared" si="148"/>
        <v>0</v>
      </c>
      <c r="Y187" s="67">
        <f t="shared" si="149"/>
        <v>12397454</v>
      </c>
      <c r="Z187" s="67">
        <f t="shared" si="150"/>
        <v>12397454</v>
      </c>
      <c r="AA187" s="62"/>
      <c r="AB187" s="67">
        <f t="shared" si="151"/>
        <v>0</v>
      </c>
      <c r="AC187" s="67">
        <f t="shared" si="151"/>
        <v>0</v>
      </c>
      <c r="AD187" s="67">
        <f t="shared" si="151"/>
        <v>0</v>
      </c>
      <c r="AE187" s="67">
        <f t="shared" si="151"/>
        <v>0</v>
      </c>
      <c r="AF187" s="67">
        <f t="shared" si="151"/>
        <v>0</v>
      </c>
      <c r="AG187" s="67">
        <f t="shared" si="151"/>
        <v>0</v>
      </c>
      <c r="AH187" s="67">
        <f t="shared" si="152"/>
        <v>4132484.6666666665</v>
      </c>
      <c r="AI187" s="67">
        <f t="shared" si="153"/>
        <v>4132484.6666666665</v>
      </c>
      <c r="AJ187" s="67">
        <f t="shared" si="153"/>
        <v>4132484.6666666665</v>
      </c>
      <c r="AK187" s="67"/>
      <c r="AL187" s="67"/>
      <c r="AM187" s="67"/>
      <c r="AN187" s="67">
        <f t="shared" si="154"/>
        <v>12397454</v>
      </c>
    </row>
    <row r="188" spans="2:40" outlineLevel="2" x14ac:dyDescent="0.25">
      <c r="B188" s="63" t="s">
        <v>279</v>
      </c>
      <c r="C188" s="64">
        <v>830077633</v>
      </c>
      <c r="D188" s="65" t="s">
        <v>282</v>
      </c>
      <c r="E188" s="66">
        <v>32</v>
      </c>
      <c r="F188" s="66">
        <v>0</v>
      </c>
      <c r="G188" s="66">
        <v>0</v>
      </c>
      <c r="H188" s="66">
        <f t="shared" si="98"/>
        <v>0</v>
      </c>
      <c r="I188" s="66">
        <v>0</v>
      </c>
      <c r="J188" s="66">
        <v>0</v>
      </c>
      <c r="K188" s="66">
        <v>0</v>
      </c>
      <c r="L188" s="66">
        <v>0</v>
      </c>
      <c r="M188" s="66">
        <v>0</v>
      </c>
      <c r="N188" s="66">
        <v>3927200</v>
      </c>
      <c r="O188" s="66">
        <v>0</v>
      </c>
      <c r="P188" s="66">
        <v>0</v>
      </c>
      <c r="Q188" s="67">
        <f t="shared" si="141"/>
        <v>3927200</v>
      </c>
      <c r="S188" s="68">
        <f t="shared" si="144"/>
        <v>0</v>
      </c>
      <c r="T188" s="67">
        <f t="shared" si="144"/>
        <v>0</v>
      </c>
      <c r="U188" s="67">
        <f t="shared" si="145"/>
        <v>0</v>
      </c>
      <c r="V188" s="67">
        <f t="shared" si="146"/>
        <v>0</v>
      </c>
      <c r="W188" s="67">
        <f t="shared" si="147"/>
        <v>0</v>
      </c>
      <c r="X188" s="67">
        <f t="shared" si="148"/>
        <v>0</v>
      </c>
      <c r="Y188" s="67">
        <f t="shared" si="149"/>
        <v>1963600</v>
      </c>
      <c r="Z188" s="67">
        <f t="shared" si="150"/>
        <v>1963600</v>
      </c>
      <c r="AA188" s="62"/>
      <c r="AB188" s="67">
        <f t="shared" si="151"/>
        <v>0</v>
      </c>
      <c r="AC188" s="67">
        <f t="shared" si="151"/>
        <v>0</v>
      </c>
      <c r="AD188" s="67">
        <f t="shared" si="151"/>
        <v>0</v>
      </c>
      <c r="AE188" s="67">
        <f t="shared" si="151"/>
        <v>0</v>
      </c>
      <c r="AF188" s="67">
        <f t="shared" si="151"/>
        <v>0</v>
      </c>
      <c r="AG188" s="67">
        <f t="shared" si="151"/>
        <v>0</v>
      </c>
      <c r="AH188" s="67">
        <f t="shared" si="152"/>
        <v>654533.33333333337</v>
      </c>
      <c r="AI188" s="67">
        <f t="shared" si="153"/>
        <v>654533.33333333337</v>
      </c>
      <c r="AJ188" s="67">
        <f t="shared" si="153"/>
        <v>654533.33333333337</v>
      </c>
      <c r="AK188" s="67"/>
      <c r="AL188" s="67"/>
      <c r="AM188" s="67"/>
      <c r="AN188" s="67">
        <f t="shared" si="154"/>
        <v>1963600</v>
      </c>
    </row>
    <row r="189" spans="2:40" ht="12" outlineLevel="2" thickBot="1" x14ac:dyDescent="0.3">
      <c r="B189" s="63" t="s">
        <v>279</v>
      </c>
      <c r="C189" s="64">
        <v>901034790</v>
      </c>
      <c r="D189" s="65" t="s">
        <v>283</v>
      </c>
      <c r="E189" s="66">
        <v>5</v>
      </c>
      <c r="F189" s="66">
        <v>0</v>
      </c>
      <c r="G189" s="66">
        <v>0</v>
      </c>
      <c r="H189" s="66">
        <f t="shared" si="98"/>
        <v>0</v>
      </c>
      <c r="I189" s="66">
        <v>0</v>
      </c>
      <c r="J189" s="66">
        <v>517400</v>
      </c>
      <c r="K189" s="66">
        <v>0</v>
      </c>
      <c r="L189" s="66">
        <v>0</v>
      </c>
      <c r="M189" s="66">
        <v>1674400</v>
      </c>
      <c r="N189" s="66">
        <v>0</v>
      </c>
      <c r="O189" s="66">
        <v>0</v>
      </c>
      <c r="P189" s="66">
        <v>0</v>
      </c>
      <c r="Q189" s="67">
        <f t="shared" si="141"/>
        <v>2191800</v>
      </c>
      <c r="S189" s="68">
        <f t="shared" si="144"/>
        <v>0</v>
      </c>
      <c r="T189" s="67">
        <f t="shared" si="144"/>
        <v>0</v>
      </c>
      <c r="U189" s="67">
        <f t="shared" si="145"/>
        <v>310440</v>
      </c>
      <c r="V189" s="67">
        <f t="shared" si="146"/>
        <v>0</v>
      </c>
      <c r="W189" s="67">
        <f t="shared" si="147"/>
        <v>0</v>
      </c>
      <c r="X189" s="67">
        <f t="shared" si="148"/>
        <v>1255800</v>
      </c>
      <c r="Y189" s="67">
        <f t="shared" si="149"/>
        <v>312780</v>
      </c>
      <c r="Z189" s="67">
        <f t="shared" si="150"/>
        <v>1879020</v>
      </c>
      <c r="AA189" s="62"/>
      <c r="AB189" s="67">
        <f t="shared" si="151"/>
        <v>0</v>
      </c>
      <c r="AC189" s="67">
        <f t="shared" si="151"/>
        <v>0</v>
      </c>
      <c r="AD189" s="67">
        <f t="shared" si="151"/>
        <v>310440</v>
      </c>
      <c r="AE189" s="67">
        <f t="shared" si="151"/>
        <v>0</v>
      </c>
      <c r="AF189" s="67">
        <f t="shared" si="151"/>
        <v>0</v>
      </c>
      <c r="AG189" s="67">
        <f t="shared" si="151"/>
        <v>1255800</v>
      </c>
      <c r="AH189" s="67">
        <f t="shared" si="152"/>
        <v>104260</v>
      </c>
      <c r="AI189" s="67">
        <f t="shared" si="153"/>
        <v>104260</v>
      </c>
      <c r="AJ189" s="67">
        <f t="shared" si="153"/>
        <v>104260</v>
      </c>
      <c r="AK189" s="67"/>
      <c r="AL189" s="67"/>
      <c r="AM189" s="67"/>
      <c r="AN189" s="67">
        <f t="shared" si="154"/>
        <v>1879020</v>
      </c>
    </row>
    <row r="190" spans="2:40" ht="12" outlineLevel="1" thickBot="1" x14ac:dyDescent="0.3">
      <c r="B190" s="75" t="s">
        <v>284</v>
      </c>
      <c r="C190" s="76"/>
      <c r="D190" s="76"/>
      <c r="E190" s="77">
        <f t="shared" ref="E190:Z190" si="155">SUBTOTAL(9,E186:E189)</f>
        <v>39</v>
      </c>
      <c r="F190" s="77">
        <f t="shared" si="155"/>
        <v>0</v>
      </c>
      <c r="G190" s="77">
        <f t="shared" si="155"/>
        <v>0</v>
      </c>
      <c r="H190" s="77">
        <f t="shared" si="155"/>
        <v>0</v>
      </c>
      <c r="I190" s="77">
        <f t="shared" si="155"/>
        <v>0</v>
      </c>
      <c r="J190" s="77">
        <f t="shared" si="155"/>
        <v>517400</v>
      </c>
      <c r="K190" s="77">
        <f t="shared" si="155"/>
        <v>0</v>
      </c>
      <c r="L190" s="77">
        <f t="shared" si="155"/>
        <v>0</v>
      </c>
      <c r="M190" s="77">
        <f t="shared" si="155"/>
        <v>1674400</v>
      </c>
      <c r="N190" s="77">
        <f t="shared" si="155"/>
        <v>742958144</v>
      </c>
      <c r="O190" s="77">
        <f t="shared" si="155"/>
        <v>0</v>
      </c>
      <c r="P190" s="77">
        <f t="shared" si="155"/>
        <v>0</v>
      </c>
      <c r="Q190" s="78">
        <f t="shared" si="155"/>
        <v>745149944</v>
      </c>
      <c r="S190" s="79">
        <f t="shared" si="155"/>
        <v>0</v>
      </c>
      <c r="T190" s="78">
        <f t="shared" si="155"/>
        <v>0</v>
      </c>
      <c r="U190" s="78">
        <f t="shared" si="155"/>
        <v>310440</v>
      </c>
      <c r="V190" s="78">
        <f t="shared" si="155"/>
        <v>0</v>
      </c>
      <c r="W190" s="78">
        <f t="shared" si="155"/>
        <v>0</v>
      </c>
      <c r="X190" s="78">
        <f t="shared" si="155"/>
        <v>1255800</v>
      </c>
      <c r="Y190" s="78">
        <f t="shared" si="155"/>
        <v>371791852</v>
      </c>
      <c r="Z190" s="78">
        <f t="shared" si="155"/>
        <v>373358092</v>
      </c>
      <c r="AA190" s="62"/>
      <c r="AB190" s="78">
        <f t="shared" ref="AB190:AN190" si="156">SUBTOTAL(9,AB186:AB189)</f>
        <v>0</v>
      </c>
      <c r="AC190" s="78">
        <f t="shared" si="156"/>
        <v>0</v>
      </c>
      <c r="AD190" s="78">
        <f t="shared" si="156"/>
        <v>310440</v>
      </c>
      <c r="AE190" s="78">
        <f t="shared" si="156"/>
        <v>0</v>
      </c>
      <c r="AF190" s="78">
        <f t="shared" si="156"/>
        <v>0</v>
      </c>
      <c r="AG190" s="78">
        <f t="shared" si="156"/>
        <v>1255800</v>
      </c>
      <c r="AH190" s="78">
        <f t="shared" si="156"/>
        <v>123930617.33333333</v>
      </c>
      <c r="AI190" s="78">
        <f t="shared" si="156"/>
        <v>123930617.33333333</v>
      </c>
      <c r="AJ190" s="78">
        <f t="shared" si="156"/>
        <v>123930617.33333333</v>
      </c>
      <c r="AK190" s="78">
        <f t="shared" si="156"/>
        <v>0</v>
      </c>
      <c r="AL190" s="78">
        <f t="shared" si="156"/>
        <v>0</v>
      </c>
      <c r="AM190" s="78">
        <f t="shared" si="156"/>
        <v>0</v>
      </c>
      <c r="AN190" s="78">
        <f t="shared" si="156"/>
        <v>373358092</v>
      </c>
    </row>
    <row r="191" spans="2:40" outlineLevel="2" x14ac:dyDescent="0.25">
      <c r="B191" s="63" t="s">
        <v>285</v>
      </c>
      <c r="C191" s="64">
        <v>860045904</v>
      </c>
      <c r="D191" s="65" t="s">
        <v>286</v>
      </c>
      <c r="E191" s="66">
        <v>5</v>
      </c>
      <c r="F191" s="66">
        <v>0</v>
      </c>
      <c r="G191" s="66">
        <v>0</v>
      </c>
      <c r="H191" s="66">
        <f t="shared" si="98"/>
        <v>0</v>
      </c>
      <c r="I191" s="66">
        <v>0</v>
      </c>
      <c r="J191" s="66">
        <v>0</v>
      </c>
      <c r="K191" s="66">
        <v>0</v>
      </c>
      <c r="L191" s="66">
        <v>0</v>
      </c>
      <c r="M191" s="66">
        <v>0</v>
      </c>
      <c r="N191" s="66">
        <v>215118087</v>
      </c>
      <c r="O191" s="66">
        <v>0</v>
      </c>
      <c r="P191" s="66">
        <v>0</v>
      </c>
      <c r="Q191" s="67">
        <f t="shared" si="141"/>
        <v>215118087</v>
      </c>
      <c r="S191" s="88">
        <v>0</v>
      </c>
      <c r="T191" s="88">
        <v>0</v>
      </c>
      <c r="U191" s="88">
        <v>0</v>
      </c>
      <c r="V191" s="88">
        <v>0</v>
      </c>
      <c r="W191" s="88">
        <v>0</v>
      </c>
      <c r="X191" s="88">
        <v>0</v>
      </c>
      <c r="Y191" s="88">
        <v>0</v>
      </c>
      <c r="Z191" s="67">
        <f t="shared" ref="Z191:Z228" si="157">+SUM(S191:Y191)</f>
        <v>0</v>
      </c>
      <c r="AA191" s="62"/>
      <c r="AB191" s="67"/>
      <c r="AC191" s="67"/>
      <c r="AD191" s="67"/>
      <c r="AE191" s="67"/>
      <c r="AF191" s="67"/>
      <c r="AG191" s="67"/>
      <c r="AH191" s="67"/>
      <c r="AI191" s="67"/>
      <c r="AJ191" s="67"/>
      <c r="AK191" s="67"/>
      <c r="AL191" s="67"/>
      <c r="AM191" s="67"/>
      <c r="AN191" s="67">
        <f t="shared" ref="AN191:AN228" si="158">+SUM(AB191:AM191)</f>
        <v>0</v>
      </c>
    </row>
    <row r="192" spans="2:40" outlineLevel="2" x14ac:dyDescent="0.25">
      <c r="B192" s="63" t="s">
        <v>287</v>
      </c>
      <c r="C192" s="64">
        <v>800140949</v>
      </c>
      <c r="D192" s="65" t="s">
        <v>288</v>
      </c>
      <c r="E192" s="66">
        <v>8025</v>
      </c>
      <c r="F192" s="66">
        <v>0</v>
      </c>
      <c r="G192" s="66">
        <v>0</v>
      </c>
      <c r="H192" s="66">
        <f t="shared" si="98"/>
        <v>0</v>
      </c>
      <c r="I192" s="66">
        <v>0</v>
      </c>
      <c r="J192" s="66">
        <v>0</v>
      </c>
      <c r="K192" s="66">
        <v>0</v>
      </c>
      <c r="L192" s="66">
        <v>0</v>
      </c>
      <c r="M192" s="66">
        <v>0</v>
      </c>
      <c r="N192" s="66">
        <v>10633162489.649998</v>
      </c>
      <c r="O192" s="66">
        <v>0</v>
      </c>
      <c r="P192" s="86">
        <v>-232746843.88</v>
      </c>
      <c r="Q192" s="67">
        <f t="shared" si="141"/>
        <v>10400415645.769999</v>
      </c>
      <c r="S192" s="88">
        <v>0</v>
      </c>
      <c r="T192" s="89">
        <v>0</v>
      </c>
      <c r="U192" s="89">
        <v>0</v>
      </c>
      <c r="V192" s="89">
        <v>0</v>
      </c>
      <c r="W192" s="89">
        <v>0</v>
      </c>
      <c r="X192" s="89">
        <v>0</v>
      </c>
      <c r="Y192" s="89">
        <v>0</v>
      </c>
      <c r="Z192" s="67">
        <f t="shared" si="157"/>
        <v>0</v>
      </c>
      <c r="AA192" s="62"/>
      <c r="AB192" s="67"/>
      <c r="AC192" s="67"/>
      <c r="AD192" s="67"/>
      <c r="AE192" s="67"/>
      <c r="AF192" s="67"/>
      <c r="AG192" s="67"/>
      <c r="AH192" s="67"/>
      <c r="AI192" s="67"/>
      <c r="AJ192" s="67"/>
      <c r="AK192" s="67"/>
      <c r="AL192" s="67"/>
      <c r="AM192" s="67"/>
      <c r="AN192" s="67">
        <f t="shared" si="158"/>
        <v>0</v>
      </c>
    </row>
    <row r="193" spans="2:40" outlineLevel="2" x14ac:dyDescent="0.25">
      <c r="B193" s="63" t="s">
        <v>287</v>
      </c>
      <c r="C193" s="64">
        <v>800250119</v>
      </c>
      <c r="D193" s="65" t="s">
        <v>289</v>
      </c>
      <c r="E193" s="66">
        <v>717</v>
      </c>
      <c r="F193" s="66">
        <v>0</v>
      </c>
      <c r="G193" s="66">
        <v>0</v>
      </c>
      <c r="H193" s="66">
        <f t="shared" si="98"/>
        <v>0</v>
      </c>
      <c r="I193" s="66">
        <v>0</v>
      </c>
      <c r="J193" s="66">
        <v>0</v>
      </c>
      <c r="K193" s="66">
        <v>0</v>
      </c>
      <c r="L193" s="66">
        <v>0</v>
      </c>
      <c r="M193" s="66">
        <v>0</v>
      </c>
      <c r="N193" s="66">
        <v>586320013.97000003</v>
      </c>
      <c r="O193" s="66">
        <v>0</v>
      </c>
      <c r="P193" s="86">
        <v>-5164412.34</v>
      </c>
      <c r="Q193" s="67">
        <f t="shared" si="141"/>
        <v>581155601.63</v>
      </c>
      <c r="S193" s="88">
        <v>0</v>
      </c>
      <c r="T193" s="89">
        <v>0</v>
      </c>
      <c r="U193" s="89">
        <v>0</v>
      </c>
      <c r="V193" s="89">
        <v>0</v>
      </c>
      <c r="W193" s="89">
        <v>0</v>
      </c>
      <c r="X193" s="89">
        <v>0</v>
      </c>
      <c r="Y193" s="89">
        <v>0</v>
      </c>
      <c r="Z193" s="67">
        <f t="shared" si="157"/>
        <v>0</v>
      </c>
      <c r="AA193" s="62"/>
      <c r="AB193" s="67"/>
      <c r="AC193" s="67"/>
      <c r="AD193" s="67"/>
      <c r="AE193" s="67"/>
      <c r="AF193" s="67"/>
      <c r="AG193" s="67"/>
      <c r="AH193" s="67"/>
      <c r="AI193" s="67"/>
      <c r="AJ193" s="67"/>
      <c r="AK193" s="67"/>
      <c r="AL193" s="67"/>
      <c r="AM193" s="67"/>
      <c r="AN193" s="67">
        <f t="shared" si="158"/>
        <v>0</v>
      </c>
    </row>
    <row r="194" spans="2:40" outlineLevel="2" x14ac:dyDescent="0.25">
      <c r="B194" s="63" t="s">
        <v>287</v>
      </c>
      <c r="C194" s="64">
        <v>804002105</v>
      </c>
      <c r="D194" s="65" t="s">
        <v>290</v>
      </c>
      <c r="E194" s="66">
        <v>185</v>
      </c>
      <c r="F194" s="66">
        <v>0</v>
      </c>
      <c r="G194" s="66">
        <v>0</v>
      </c>
      <c r="H194" s="66">
        <f t="shared" si="98"/>
        <v>0</v>
      </c>
      <c r="I194" s="66">
        <v>0</v>
      </c>
      <c r="J194" s="66">
        <v>0</v>
      </c>
      <c r="K194" s="66">
        <v>0</v>
      </c>
      <c r="L194" s="66">
        <v>0</v>
      </c>
      <c r="M194" s="66">
        <v>0</v>
      </c>
      <c r="N194" s="66">
        <v>55547344</v>
      </c>
      <c r="O194" s="66">
        <v>0</v>
      </c>
      <c r="P194" s="66">
        <v>0</v>
      </c>
      <c r="Q194" s="67">
        <f t="shared" si="141"/>
        <v>55547344</v>
      </c>
      <c r="S194" s="88">
        <v>0</v>
      </c>
      <c r="T194" s="89">
        <v>0</v>
      </c>
      <c r="U194" s="89">
        <v>0</v>
      </c>
      <c r="V194" s="89">
        <v>0</v>
      </c>
      <c r="W194" s="89">
        <v>0</v>
      </c>
      <c r="X194" s="89">
        <v>0</v>
      </c>
      <c r="Y194" s="89">
        <v>0</v>
      </c>
      <c r="Z194" s="67">
        <f t="shared" si="157"/>
        <v>0</v>
      </c>
      <c r="AA194" s="62"/>
      <c r="AB194" s="67"/>
      <c r="AC194" s="67"/>
      <c r="AD194" s="67"/>
      <c r="AE194" s="67"/>
      <c r="AF194" s="67"/>
      <c r="AG194" s="67"/>
      <c r="AH194" s="67"/>
      <c r="AI194" s="67"/>
      <c r="AJ194" s="67"/>
      <c r="AK194" s="67"/>
      <c r="AL194" s="67"/>
      <c r="AM194" s="67"/>
      <c r="AN194" s="67">
        <f t="shared" si="158"/>
        <v>0</v>
      </c>
    </row>
    <row r="195" spans="2:40" outlineLevel="2" x14ac:dyDescent="0.25">
      <c r="B195" s="63" t="s">
        <v>287</v>
      </c>
      <c r="C195" s="64">
        <v>805000427</v>
      </c>
      <c r="D195" s="65" t="s">
        <v>291</v>
      </c>
      <c r="E195" s="66">
        <v>6242</v>
      </c>
      <c r="F195" s="66">
        <v>0</v>
      </c>
      <c r="G195" s="66">
        <v>0</v>
      </c>
      <c r="H195" s="66">
        <f t="shared" si="98"/>
        <v>0</v>
      </c>
      <c r="I195" s="66">
        <v>0</v>
      </c>
      <c r="J195" s="66">
        <v>0</v>
      </c>
      <c r="K195" s="66">
        <v>0</v>
      </c>
      <c r="L195" s="66">
        <v>0</v>
      </c>
      <c r="M195" s="66">
        <v>0</v>
      </c>
      <c r="N195" s="66">
        <v>2682143612.7799997</v>
      </c>
      <c r="O195" s="66">
        <v>0</v>
      </c>
      <c r="P195" s="66">
        <v>0</v>
      </c>
      <c r="Q195" s="67">
        <f t="shared" si="141"/>
        <v>2682143612.7799997</v>
      </c>
      <c r="S195" s="88">
        <v>0</v>
      </c>
      <c r="T195" s="89">
        <v>0</v>
      </c>
      <c r="U195" s="89">
        <v>0</v>
      </c>
      <c r="V195" s="89">
        <v>0</v>
      </c>
      <c r="W195" s="89">
        <v>0</v>
      </c>
      <c r="X195" s="89">
        <v>0</v>
      </c>
      <c r="Y195" s="89">
        <v>0</v>
      </c>
      <c r="Z195" s="67">
        <f t="shared" si="157"/>
        <v>0</v>
      </c>
      <c r="AA195" s="62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>
        <f t="shared" si="158"/>
        <v>0</v>
      </c>
    </row>
    <row r="196" spans="2:40" outlineLevel="2" x14ac:dyDescent="0.25">
      <c r="B196" s="63" t="s">
        <v>287</v>
      </c>
      <c r="C196" s="64">
        <v>811004055</v>
      </c>
      <c r="D196" s="65" t="s">
        <v>292</v>
      </c>
      <c r="E196" s="66">
        <v>2</v>
      </c>
      <c r="F196" s="66">
        <v>0</v>
      </c>
      <c r="G196" s="66">
        <v>0</v>
      </c>
      <c r="H196" s="66">
        <f t="shared" si="98"/>
        <v>0</v>
      </c>
      <c r="I196" s="66">
        <v>0</v>
      </c>
      <c r="J196" s="66">
        <v>0</v>
      </c>
      <c r="K196" s="66">
        <v>0</v>
      </c>
      <c r="L196" s="66">
        <v>0</v>
      </c>
      <c r="M196" s="66">
        <v>0</v>
      </c>
      <c r="N196" s="66">
        <v>238355</v>
      </c>
      <c r="O196" s="66">
        <v>0</v>
      </c>
      <c r="P196" s="66">
        <v>0</v>
      </c>
      <c r="Q196" s="67">
        <f t="shared" si="141"/>
        <v>238355</v>
      </c>
      <c r="S196" s="88">
        <v>0</v>
      </c>
      <c r="T196" s="89">
        <v>0</v>
      </c>
      <c r="U196" s="89">
        <v>0</v>
      </c>
      <c r="V196" s="89">
        <v>0</v>
      </c>
      <c r="W196" s="89">
        <v>0</v>
      </c>
      <c r="X196" s="89">
        <v>0</v>
      </c>
      <c r="Y196" s="89">
        <v>0</v>
      </c>
      <c r="Z196" s="67">
        <f t="shared" si="157"/>
        <v>0</v>
      </c>
      <c r="AA196" s="62"/>
      <c r="AB196" s="67"/>
      <c r="AC196" s="67"/>
      <c r="AD196" s="67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>
        <f t="shared" si="158"/>
        <v>0</v>
      </c>
    </row>
    <row r="197" spans="2:40" outlineLevel="2" x14ac:dyDescent="0.25">
      <c r="B197" s="63" t="s">
        <v>287</v>
      </c>
      <c r="C197" s="64">
        <v>818000140</v>
      </c>
      <c r="D197" s="65" t="s">
        <v>293</v>
      </c>
      <c r="E197" s="66">
        <v>57</v>
      </c>
      <c r="F197" s="66">
        <v>0</v>
      </c>
      <c r="G197" s="66">
        <v>0</v>
      </c>
      <c r="H197" s="66">
        <f t="shared" si="98"/>
        <v>0</v>
      </c>
      <c r="I197" s="66">
        <v>0</v>
      </c>
      <c r="J197" s="66">
        <v>0</v>
      </c>
      <c r="K197" s="66">
        <v>0</v>
      </c>
      <c r="L197" s="66">
        <v>0</v>
      </c>
      <c r="M197" s="66">
        <v>0</v>
      </c>
      <c r="N197" s="66">
        <v>37115410</v>
      </c>
      <c r="O197" s="66">
        <v>0</v>
      </c>
      <c r="P197" s="66">
        <v>0</v>
      </c>
      <c r="Q197" s="67">
        <f t="shared" si="141"/>
        <v>37115410</v>
      </c>
      <c r="S197" s="88">
        <v>0</v>
      </c>
      <c r="T197" s="89">
        <v>0</v>
      </c>
      <c r="U197" s="89">
        <v>0</v>
      </c>
      <c r="V197" s="89">
        <v>0</v>
      </c>
      <c r="W197" s="89">
        <v>0</v>
      </c>
      <c r="X197" s="89">
        <v>0</v>
      </c>
      <c r="Y197" s="89">
        <v>0</v>
      </c>
      <c r="Z197" s="67">
        <f t="shared" si="157"/>
        <v>0</v>
      </c>
      <c r="AA197" s="62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>
        <f t="shared" si="158"/>
        <v>0</v>
      </c>
    </row>
    <row r="198" spans="2:40" outlineLevel="2" x14ac:dyDescent="0.25">
      <c r="B198" s="63" t="s">
        <v>287</v>
      </c>
      <c r="C198" s="64">
        <v>830009783</v>
      </c>
      <c r="D198" s="65" t="s">
        <v>294</v>
      </c>
      <c r="E198" s="66">
        <v>11834</v>
      </c>
      <c r="F198" s="66">
        <v>0</v>
      </c>
      <c r="G198" s="66">
        <v>0</v>
      </c>
      <c r="H198" s="66">
        <f t="shared" si="98"/>
        <v>0</v>
      </c>
      <c r="I198" s="66">
        <v>0</v>
      </c>
      <c r="J198" s="66">
        <v>0</v>
      </c>
      <c r="K198" s="66">
        <v>0</v>
      </c>
      <c r="L198" s="66">
        <v>0</v>
      </c>
      <c r="M198" s="66">
        <v>0</v>
      </c>
      <c r="N198" s="66">
        <v>6818364111.8600664</v>
      </c>
      <c r="O198" s="66">
        <v>0</v>
      </c>
      <c r="P198" s="66">
        <v>-136275236.94999999</v>
      </c>
      <c r="Q198" s="67">
        <f t="shared" si="141"/>
        <v>6682088874.9100666</v>
      </c>
      <c r="S198" s="88">
        <v>0</v>
      </c>
      <c r="T198" s="89">
        <v>0</v>
      </c>
      <c r="U198" s="89">
        <v>0</v>
      </c>
      <c r="V198" s="89">
        <v>0</v>
      </c>
      <c r="W198" s="89">
        <v>0</v>
      </c>
      <c r="X198" s="89">
        <v>0</v>
      </c>
      <c r="Y198" s="89">
        <v>0</v>
      </c>
      <c r="Z198" s="67">
        <f t="shared" si="157"/>
        <v>0</v>
      </c>
      <c r="AA198" s="62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>
        <f t="shared" si="158"/>
        <v>0</v>
      </c>
    </row>
    <row r="199" spans="2:40" outlineLevel="2" x14ac:dyDescent="0.25">
      <c r="B199" s="63" t="s">
        <v>287</v>
      </c>
      <c r="C199" s="64">
        <v>830074184</v>
      </c>
      <c r="D199" s="65" t="s">
        <v>295</v>
      </c>
      <c r="E199" s="66">
        <v>893</v>
      </c>
      <c r="F199" s="66">
        <v>0</v>
      </c>
      <c r="G199" s="66">
        <v>0</v>
      </c>
      <c r="H199" s="66">
        <f t="shared" si="98"/>
        <v>0</v>
      </c>
      <c r="I199" s="66">
        <v>0</v>
      </c>
      <c r="J199" s="66">
        <v>0</v>
      </c>
      <c r="K199" s="66">
        <v>0</v>
      </c>
      <c r="L199" s="66">
        <v>0</v>
      </c>
      <c r="M199" s="66">
        <v>0</v>
      </c>
      <c r="N199" s="66">
        <v>710714896.62</v>
      </c>
      <c r="O199" s="66">
        <v>0</v>
      </c>
      <c r="P199" s="66">
        <v>0</v>
      </c>
      <c r="Q199" s="67">
        <f t="shared" si="141"/>
        <v>710714896.62</v>
      </c>
      <c r="S199" s="88">
        <v>0</v>
      </c>
      <c r="T199" s="89">
        <v>0</v>
      </c>
      <c r="U199" s="89">
        <v>0</v>
      </c>
      <c r="V199" s="89">
        <v>0</v>
      </c>
      <c r="W199" s="89">
        <v>0</v>
      </c>
      <c r="X199" s="89">
        <v>0</v>
      </c>
      <c r="Y199" s="89">
        <v>0</v>
      </c>
      <c r="Z199" s="67">
        <f t="shared" si="157"/>
        <v>0</v>
      </c>
      <c r="AA199" s="62"/>
      <c r="AB199" s="67"/>
      <c r="AC199" s="67"/>
      <c r="AD199" s="67"/>
      <c r="AE199" s="67"/>
      <c r="AF199" s="67"/>
      <c r="AG199" s="67"/>
      <c r="AH199" s="67"/>
      <c r="AI199" s="67"/>
      <c r="AJ199" s="67"/>
      <c r="AK199" s="67"/>
      <c r="AL199" s="67"/>
      <c r="AM199" s="67"/>
      <c r="AN199" s="67">
        <f t="shared" si="158"/>
        <v>0</v>
      </c>
    </row>
    <row r="200" spans="2:40" outlineLevel="2" x14ac:dyDescent="0.25">
      <c r="B200" s="63" t="s">
        <v>287</v>
      </c>
      <c r="C200" s="64">
        <v>832000760</v>
      </c>
      <c r="D200" s="65" t="s">
        <v>296</v>
      </c>
      <c r="E200" s="66">
        <v>9</v>
      </c>
      <c r="F200" s="66">
        <v>0</v>
      </c>
      <c r="G200" s="66">
        <v>0</v>
      </c>
      <c r="H200" s="66">
        <f t="shared" si="98"/>
        <v>0</v>
      </c>
      <c r="I200" s="66">
        <v>0</v>
      </c>
      <c r="J200" s="66">
        <v>0</v>
      </c>
      <c r="K200" s="66">
        <v>0</v>
      </c>
      <c r="L200" s="66">
        <v>0</v>
      </c>
      <c r="M200" s="66">
        <v>0</v>
      </c>
      <c r="N200" s="66">
        <v>11323117</v>
      </c>
      <c r="O200" s="66">
        <v>0</v>
      </c>
      <c r="P200" s="66">
        <v>0</v>
      </c>
      <c r="Q200" s="67">
        <f t="shared" si="141"/>
        <v>11323117</v>
      </c>
      <c r="S200" s="88">
        <v>0</v>
      </c>
      <c r="T200" s="89">
        <v>0</v>
      </c>
      <c r="U200" s="89">
        <v>0</v>
      </c>
      <c r="V200" s="89">
        <v>0</v>
      </c>
      <c r="W200" s="89">
        <v>0</v>
      </c>
      <c r="X200" s="89">
        <v>0</v>
      </c>
      <c r="Y200" s="89">
        <v>0</v>
      </c>
      <c r="Z200" s="67">
        <f t="shared" si="157"/>
        <v>0</v>
      </c>
      <c r="AA200" s="62"/>
      <c r="AB200" s="67"/>
      <c r="AC200" s="67"/>
      <c r="AD200" s="67"/>
      <c r="AE200" s="67"/>
      <c r="AF200" s="67"/>
      <c r="AG200" s="67"/>
      <c r="AH200" s="67"/>
      <c r="AI200" s="67"/>
      <c r="AJ200" s="67"/>
      <c r="AK200" s="67"/>
      <c r="AL200" s="67"/>
      <c r="AM200" s="67"/>
      <c r="AN200" s="67">
        <f t="shared" si="158"/>
        <v>0</v>
      </c>
    </row>
    <row r="201" spans="2:40" outlineLevel="2" x14ac:dyDescent="0.25">
      <c r="B201" s="63" t="s">
        <v>287</v>
      </c>
      <c r="C201" s="64">
        <v>860045904</v>
      </c>
      <c r="D201" s="65" t="s">
        <v>286</v>
      </c>
      <c r="E201" s="66">
        <v>520</v>
      </c>
      <c r="F201" s="66">
        <v>0</v>
      </c>
      <c r="G201" s="66">
        <v>0</v>
      </c>
      <c r="H201" s="66">
        <f t="shared" si="98"/>
        <v>0</v>
      </c>
      <c r="I201" s="66">
        <v>0</v>
      </c>
      <c r="J201" s="66">
        <v>0</v>
      </c>
      <c r="K201" s="66">
        <v>0</v>
      </c>
      <c r="L201" s="66">
        <v>0</v>
      </c>
      <c r="M201" s="66">
        <v>0</v>
      </c>
      <c r="N201" s="66">
        <v>330861977.44999993</v>
      </c>
      <c r="O201" s="66">
        <v>0</v>
      </c>
      <c r="P201" s="66">
        <v>0</v>
      </c>
      <c r="Q201" s="67">
        <f t="shared" si="141"/>
        <v>330861977.44999993</v>
      </c>
      <c r="S201" s="88">
        <v>0</v>
      </c>
      <c r="T201" s="89">
        <v>0</v>
      </c>
      <c r="U201" s="89">
        <v>0</v>
      </c>
      <c r="V201" s="89">
        <v>0</v>
      </c>
      <c r="W201" s="89">
        <v>0</v>
      </c>
      <c r="X201" s="89">
        <v>0</v>
      </c>
      <c r="Y201" s="89">
        <v>0</v>
      </c>
      <c r="Z201" s="67">
        <f t="shared" si="157"/>
        <v>0</v>
      </c>
      <c r="AA201" s="62"/>
      <c r="AB201" s="67"/>
      <c r="AC201" s="67"/>
      <c r="AD201" s="67"/>
      <c r="AE201" s="67"/>
      <c r="AF201" s="67"/>
      <c r="AG201" s="67"/>
      <c r="AH201" s="67"/>
      <c r="AI201" s="67"/>
      <c r="AJ201" s="67"/>
      <c r="AK201" s="67"/>
      <c r="AL201" s="67"/>
      <c r="AM201" s="67"/>
      <c r="AN201" s="67">
        <f t="shared" si="158"/>
        <v>0</v>
      </c>
    </row>
    <row r="202" spans="2:40" outlineLevel="2" x14ac:dyDescent="0.25">
      <c r="B202" s="63" t="s">
        <v>287</v>
      </c>
      <c r="C202" s="64">
        <v>891180008</v>
      </c>
      <c r="D202" s="65" t="s">
        <v>297</v>
      </c>
      <c r="E202" s="66">
        <v>5</v>
      </c>
      <c r="F202" s="66">
        <v>0</v>
      </c>
      <c r="G202" s="66">
        <v>0</v>
      </c>
      <c r="H202" s="66">
        <f t="shared" si="98"/>
        <v>0</v>
      </c>
      <c r="I202" s="66">
        <v>0</v>
      </c>
      <c r="J202" s="66">
        <v>0</v>
      </c>
      <c r="K202" s="66">
        <v>0</v>
      </c>
      <c r="L202" s="66">
        <v>0</v>
      </c>
      <c r="M202" s="66">
        <v>0</v>
      </c>
      <c r="N202" s="66">
        <v>4102258</v>
      </c>
      <c r="O202" s="66">
        <v>0</v>
      </c>
      <c r="P202" s="66">
        <v>-4032688</v>
      </c>
      <c r="Q202" s="67">
        <f t="shared" si="141"/>
        <v>69570</v>
      </c>
      <c r="S202" s="88">
        <v>0</v>
      </c>
      <c r="T202" s="89">
        <v>0</v>
      </c>
      <c r="U202" s="89">
        <v>0</v>
      </c>
      <c r="V202" s="89">
        <v>0</v>
      </c>
      <c r="W202" s="89">
        <v>0</v>
      </c>
      <c r="X202" s="89">
        <v>0</v>
      </c>
      <c r="Y202" s="89">
        <v>0</v>
      </c>
      <c r="Z202" s="67">
        <f t="shared" si="157"/>
        <v>0</v>
      </c>
      <c r="AA202" s="62"/>
      <c r="AB202" s="67"/>
      <c r="AC202" s="67"/>
      <c r="AD202" s="67"/>
      <c r="AE202" s="67"/>
      <c r="AF202" s="67"/>
      <c r="AG202" s="67"/>
      <c r="AH202" s="67"/>
      <c r="AI202" s="67"/>
      <c r="AJ202" s="67"/>
      <c r="AK202" s="67"/>
      <c r="AL202" s="67"/>
      <c r="AM202" s="67"/>
      <c r="AN202" s="67">
        <f t="shared" si="158"/>
        <v>0</v>
      </c>
    </row>
    <row r="203" spans="2:40" outlineLevel="2" x14ac:dyDescent="0.25">
      <c r="B203" s="63" t="s">
        <v>287</v>
      </c>
      <c r="C203" s="64">
        <v>891280008</v>
      </c>
      <c r="D203" s="65" t="s">
        <v>298</v>
      </c>
      <c r="E203" s="66">
        <v>3</v>
      </c>
      <c r="F203" s="66">
        <v>0</v>
      </c>
      <c r="G203" s="66">
        <v>0</v>
      </c>
      <c r="H203" s="66">
        <f t="shared" si="98"/>
        <v>0</v>
      </c>
      <c r="I203" s="66">
        <v>0</v>
      </c>
      <c r="J203" s="66">
        <v>0</v>
      </c>
      <c r="K203" s="66">
        <v>0</v>
      </c>
      <c r="L203" s="66">
        <v>0</v>
      </c>
      <c r="M203" s="66">
        <v>0</v>
      </c>
      <c r="N203" s="66">
        <v>405150</v>
      </c>
      <c r="O203" s="66">
        <v>0</v>
      </c>
      <c r="P203" s="66">
        <v>-355233</v>
      </c>
      <c r="Q203" s="67">
        <f t="shared" si="141"/>
        <v>49917</v>
      </c>
      <c r="S203" s="88">
        <v>0</v>
      </c>
      <c r="T203" s="89">
        <v>0</v>
      </c>
      <c r="U203" s="89">
        <v>0</v>
      </c>
      <c r="V203" s="89">
        <v>0</v>
      </c>
      <c r="W203" s="89">
        <v>0</v>
      </c>
      <c r="X203" s="89">
        <v>0</v>
      </c>
      <c r="Y203" s="89">
        <v>0</v>
      </c>
      <c r="Z203" s="67">
        <f t="shared" si="157"/>
        <v>0</v>
      </c>
      <c r="AA203" s="62"/>
      <c r="AB203" s="67"/>
      <c r="AC203" s="67"/>
      <c r="AD203" s="67"/>
      <c r="AE203" s="67"/>
      <c r="AF203" s="67"/>
      <c r="AG203" s="67"/>
      <c r="AH203" s="67"/>
      <c r="AI203" s="67"/>
      <c r="AJ203" s="67"/>
      <c r="AK203" s="67"/>
      <c r="AL203" s="67"/>
      <c r="AM203" s="67"/>
      <c r="AN203" s="67">
        <f t="shared" si="158"/>
        <v>0</v>
      </c>
    </row>
    <row r="204" spans="2:40" outlineLevel="2" x14ac:dyDescent="0.25">
      <c r="B204" s="63" t="s">
        <v>287</v>
      </c>
      <c r="C204" s="64">
        <v>899999026</v>
      </c>
      <c r="D204" s="65" t="s">
        <v>299</v>
      </c>
      <c r="E204" s="66">
        <v>250</v>
      </c>
      <c r="F204" s="66">
        <v>0</v>
      </c>
      <c r="G204" s="66">
        <v>0</v>
      </c>
      <c r="H204" s="66">
        <f t="shared" si="98"/>
        <v>0</v>
      </c>
      <c r="I204" s="66">
        <v>0</v>
      </c>
      <c r="J204" s="66">
        <v>0</v>
      </c>
      <c r="K204" s="66">
        <v>0</v>
      </c>
      <c r="L204" s="66">
        <v>0</v>
      </c>
      <c r="M204" s="66">
        <v>0</v>
      </c>
      <c r="N204" s="66">
        <v>467270745.04000002</v>
      </c>
      <c r="O204" s="66">
        <v>0</v>
      </c>
      <c r="P204" s="66">
        <v>-6228137.5199999996</v>
      </c>
      <c r="Q204" s="67">
        <f t="shared" si="141"/>
        <v>461042607.52000004</v>
      </c>
      <c r="S204" s="88">
        <v>0</v>
      </c>
      <c r="T204" s="89">
        <v>0</v>
      </c>
      <c r="U204" s="89">
        <v>0</v>
      </c>
      <c r="V204" s="89">
        <v>0</v>
      </c>
      <c r="W204" s="89">
        <v>0</v>
      </c>
      <c r="X204" s="89">
        <v>0</v>
      </c>
      <c r="Y204" s="89">
        <v>0</v>
      </c>
      <c r="Z204" s="67">
        <f t="shared" si="157"/>
        <v>0</v>
      </c>
      <c r="AA204" s="62"/>
      <c r="AB204" s="67"/>
      <c r="AC204" s="67"/>
      <c r="AD204" s="67"/>
      <c r="AE204" s="67"/>
      <c r="AF204" s="67"/>
      <c r="AG204" s="67"/>
      <c r="AH204" s="67"/>
      <c r="AI204" s="67"/>
      <c r="AJ204" s="67"/>
      <c r="AK204" s="67"/>
      <c r="AL204" s="67"/>
      <c r="AM204" s="67"/>
      <c r="AN204" s="67">
        <f t="shared" si="158"/>
        <v>0</v>
      </c>
    </row>
    <row r="205" spans="2:40" outlineLevel="2" x14ac:dyDescent="0.25">
      <c r="B205" s="63" t="s">
        <v>287</v>
      </c>
      <c r="C205" s="64">
        <v>899999107</v>
      </c>
      <c r="D205" s="65" t="s">
        <v>300</v>
      </c>
      <c r="E205" s="66">
        <v>917</v>
      </c>
      <c r="F205" s="66">
        <v>0</v>
      </c>
      <c r="G205" s="66">
        <v>0</v>
      </c>
      <c r="H205" s="66">
        <f t="shared" si="98"/>
        <v>0</v>
      </c>
      <c r="I205" s="66">
        <v>0</v>
      </c>
      <c r="J205" s="66">
        <v>0</v>
      </c>
      <c r="K205" s="66">
        <v>0</v>
      </c>
      <c r="L205" s="66">
        <v>0</v>
      </c>
      <c r="M205" s="66">
        <v>0</v>
      </c>
      <c r="N205" s="66">
        <v>475120612.26999998</v>
      </c>
      <c r="O205" s="66">
        <v>0</v>
      </c>
      <c r="P205" s="66">
        <v>0</v>
      </c>
      <c r="Q205" s="67">
        <f t="shared" si="141"/>
        <v>475120612.26999998</v>
      </c>
      <c r="S205" s="88">
        <v>0</v>
      </c>
      <c r="T205" s="89">
        <v>0</v>
      </c>
      <c r="U205" s="89">
        <v>0</v>
      </c>
      <c r="V205" s="89">
        <v>0</v>
      </c>
      <c r="W205" s="89">
        <v>0</v>
      </c>
      <c r="X205" s="89">
        <v>0</v>
      </c>
      <c r="Y205" s="89">
        <v>0</v>
      </c>
      <c r="Z205" s="67">
        <f t="shared" si="157"/>
        <v>0</v>
      </c>
      <c r="AA205" s="62"/>
      <c r="AB205" s="67"/>
      <c r="AC205" s="67"/>
      <c r="AD205" s="67"/>
      <c r="AE205" s="67"/>
      <c r="AF205" s="67"/>
      <c r="AG205" s="67"/>
      <c r="AH205" s="67"/>
      <c r="AI205" s="67"/>
      <c r="AJ205" s="67"/>
      <c r="AK205" s="67"/>
      <c r="AL205" s="67"/>
      <c r="AM205" s="67"/>
      <c r="AN205" s="67">
        <f t="shared" si="158"/>
        <v>0</v>
      </c>
    </row>
    <row r="206" spans="2:40" outlineLevel="2" x14ac:dyDescent="0.25">
      <c r="B206" s="63" t="s">
        <v>287</v>
      </c>
      <c r="C206" s="64">
        <v>901093846</v>
      </c>
      <c r="D206" s="65" t="s">
        <v>301</v>
      </c>
      <c r="E206" s="66">
        <v>66</v>
      </c>
      <c r="F206" s="66">
        <v>0</v>
      </c>
      <c r="G206" s="66">
        <v>0</v>
      </c>
      <c r="H206" s="66">
        <f t="shared" si="98"/>
        <v>0</v>
      </c>
      <c r="I206" s="66">
        <v>0</v>
      </c>
      <c r="J206" s="66">
        <v>0</v>
      </c>
      <c r="K206" s="66">
        <v>0</v>
      </c>
      <c r="L206" s="66">
        <v>0</v>
      </c>
      <c r="M206" s="66">
        <v>0</v>
      </c>
      <c r="N206" s="66">
        <v>104982555</v>
      </c>
      <c r="O206" s="66">
        <v>0</v>
      </c>
      <c r="P206" s="66">
        <v>0</v>
      </c>
      <c r="Q206" s="67">
        <f t="shared" si="141"/>
        <v>104982555</v>
      </c>
      <c r="S206" s="88">
        <v>0</v>
      </c>
      <c r="T206" s="89">
        <v>0</v>
      </c>
      <c r="U206" s="89">
        <v>0</v>
      </c>
      <c r="V206" s="89">
        <v>0</v>
      </c>
      <c r="W206" s="89">
        <v>0</v>
      </c>
      <c r="X206" s="89">
        <v>0</v>
      </c>
      <c r="Y206" s="89">
        <v>0</v>
      </c>
      <c r="Z206" s="67">
        <f t="shared" si="157"/>
        <v>0</v>
      </c>
      <c r="AA206" s="62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>
        <f t="shared" si="158"/>
        <v>0</v>
      </c>
    </row>
    <row r="207" spans="2:40" outlineLevel="2" x14ac:dyDescent="0.25">
      <c r="B207" s="63" t="s">
        <v>287</v>
      </c>
      <c r="C207" s="64">
        <v>901097473</v>
      </c>
      <c r="D207" s="65" t="s">
        <v>302</v>
      </c>
      <c r="E207" s="66">
        <v>4277</v>
      </c>
      <c r="F207" s="66">
        <v>0</v>
      </c>
      <c r="G207" s="66">
        <v>0</v>
      </c>
      <c r="H207" s="66">
        <f t="shared" si="98"/>
        <v>0</v>
      </c>
      <c r="I207" s="66">
        <v>0</v>
      </c>
      <c r="J207" s="66">
        <v>0</v>
      </c>
      <c r="K207" s="66">
        <v>0</v>
      </c>
      <c r="L207" s="66">
        <v>0</v>
      </c>
      <c r="M207" s="66">
        <v>0</v>
      </c>
      <c r="N207" s="66">
        <v>4539611919.5900002</v>
      </c>
      <c r="O207" s="66">
        <v>0</v>
      </c>
      <c r="P207" s="66">
        <v>-139208</v>
      </c>
      <c r="Q207" s="67">
        <f>SUM(H207:P207)</f>
        <v>4539472711.5900002</v>
      </c>
      <c r="S207" s="88">
        <v>0</v>
      </c>
      <c r="T207" s="89">
        <v>0</v>
      </c>
      <c r="U207" s="89">
        <v>0</v>
      </c>
      <c r="V207" s="89">
        <v>0</v>
      </c>
      <c r="W207" s="89">
        <v>0</v>
      </c>
      <c r="X207" s="89">
        <v>0</v>
      </c>
      <c r="Y207" s="89">
        <v>0</v>
      </c>
      <c r="Z207" s="67">
        <f t="shared" si="157"/>
        <v>0</v>
      </c>
      <c r="AA207" s="62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>
        <f t="shared" si="158"/>
        <v>0</v>
      </c>
    </row>
    <row r="208" spans="2:40" outlineLevel="2" x14ac:dyDescent="0.25">
      <c r="B208" s="63" t="s">
        <v>303</v>
      </c>
      <c r="C208" s="64">
        <v>800149499</v>
      </c>
      <c r="D208" s="65" t="s">
        <v>304</v>
      </c>
      <c r="E208" s="66">
        <v>68</v>
      </c>
      <c r="F208" s="66">
        <v>0</v>
      </c>
      <c r="G208" s="66">
        <v>0</v>
      </c>
      <c r="H208" s="66">
        <f t="shared" si="98"/>
        <v>0</v>
      </c>
      <c r="I208" s="66">
        <v>0</v>
      </c>
      <c r="J208" s="66">
        <v>0</v>
      </c>
      <c r="K208" s="66">
        <v>0</v>
      </c>
      <c r="L208" s="66">
        <v>0</v>
      </c>
      <c r="M208" s="66">
        <v>0</v>
      </c>
      <c r="N208" s="66">
        <v>62515906</v>
      </c>
      <c r="O208" s="66">
        <v>0</v>
      </c>
      <c r="P208" s="66">
        <v>0</v>
      </c>
      <c r="Q208" s="67">
        <f>SUM(H208:P208)</f>
        <v>62515906</v>
      </c>
      <c r="S208" s="88">
        <v>0</v>
      </c>
      <c r="T208" s="89">
        <v>0</v>
      </c>
      <c r="U208" s="89">
        <v>0</v>
      </c>
      <c r="V208" s="89">
        <v>0</v>
      </c>
      <c r="W208" s="89">
        <v>0</v>
      </c>
      <c r="X208" s="89">
        <v>0</v>
      </c>
      <c r="Y208" s="89">
        <v>0</v>
      </c>
      <c r="Z208" s="67">
        <f t="shared" si="157"/>
        <v>0</v>
      </c>
      <c r="AA208" s="62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/>
      <c r="AL208" s="67"/>
      <c r="AM208" s="67"/>
      <c r="AN208" s="67">
        <f t="shared" si="158"/>
        <v>0</v>
      </c>
    </row>
    <row r="209" spans="2:40" outlineLevel="2" x14ac:dyDescent="0.25">
      <c r="B209" s="63" t="s">
        <v>305</v>
      </c>
      <c r="C209" s="64">
        <v>800140949</v>
      </c>
      <c r="D209" s="65" t="s">
        <v>288</v>
      </c>
      <c r="E209" s="66">
        <v>2550</v>
      </c>
      <c r="F209" s="66">
        <v>0</v>
      </c>
      <c r="G209" s="66">
        <v>0</v>
      </c>
      <c r="H209" s="66">
        <f t="shared" si="98"/>
        <v>0</v>
      </c>
      <c r="I209" s="66">
        <v>0</v>
      </c>
      <c r="J209" s="66">
        <v>0</v>
      </c>
      <c r="K209" s="66">
        <v>0</v>
      </c>
      <c r="L209" s="66">
        <v>0</v>
      </c>
      <c r="M209" s="66">
        <v>0</v>
      </c>
      <c r="N209" s="66">
        <v>3052289685.8300004</v>
      </c>
      <c r="O209" s="66">
        <v>0</v>
      </c>
      <c r="P209" s="66">
        <v>0</v>
      </c>
      <c r="Q209" s="67">
        <f>SUM(H209:P209)</f>
        <v>3052289685.8300004</v>
      </c>
      <c r="S209" s="88">
        <v>0</v>
      </c>
      <c r="T209" s="89">
        <v>0</v>
      </c>
      <c r="U209" s="89">
        <v>0</v>
      </c>
      <c r="V209" s="89">
        <v>0</v>
      </c>
      <c r="W209" s="89">
        <v>0</v>
      </c>
      <c r="X209" s="89">
        <v>0</v>
      </c>
      <c r="Y209" s="89">
        <v>0</v>
      </c>
      <c r="Z209" s="67">
        <f t="shared" si="157"/>
        <v>0</v>
      </c>
      <c r="AA209" s="62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>
        <f t="shared" si="158"/>
        <v>0</v>
      </c>
    </row>
    <row r="210" spans="2:40" outlineLevel="2" x14ac:dyDescent="0.25">
      <c r="B210" s="63" t="s">
        <v>305</v>
      </c>
      <c r="C210" s="64">
        <v>804002105</v>
      </c>
      <c r="D210" s="65" t="s">
        <v>290</v>
      </c>
      <c r="E210" s="66">
        <v>2478</v>
      </c>
      <c r="F210" s="66">
        <v>0</v>
      </c>
      <c r="G210" s="66">
        <v>0</v>
      </c>
      <c r="H210" s="66">
        <f t="shared" si="98"/>
        <v>0</v>
      </c>
      <c r="I210" s="66">
        <v>0</v>
      </c>
      <c r="J210" s="66">
        <v>0</v>
      </c>
      <c r="K210" s="66">
        <v>0</v>
      </c>
      <c r="L210" s="66">
        <v>0</v>
      </c>
      <c r="M210" s="66">
        <v>0</v>
      </c>
      <c r="N210" s="66">
        <v>1985064497.73</v>
      </c>
      <c r="O210" s="66">
        <v>0</v>
      </c>
      <c r="P210" s="66">
        <v>0</v>
      </c>
      <c r="Q210" s="67">
        <f>SUM(H210:P210)</f>
        <v>1985064497.73</v>
      </c>
      <c r="S210" s="88">
        <v>0</v>
      </c>
      <c r="T210" s="89">
        <v>0</v>
      </c>
      <c r="U210" s="89">
        <v>0</v>
      </c>
      <c r="V210" s="89">
        <v>0</v>
      </c>
      <c r="W210" s="89">
        <v>0</v>
      </c>
      <c r="X210" s="89">
        <v>0</v>
      </c>
      <c r="Y210" s="89">
        <v>0</v>
      </c>
      <c r="Z210" s="67">
        <f t="shared" si="157"/>
        <v>0</v>
      </c>
      <c r="AA210" s="62"/>
      <c r="AB210" s="67"/>
      <c r="AC210" s="67"/>
      <c r="AD210" s="67"/>
      <c r="AE210" s="67"/>
      <c r="AF210" s="67"/>
      <c r="AG210" s="67"/>
      <c r="AH210" s="67"/>
      <c r="AI210" s="67"/>
      <c r="AJ210" s="67"/>
      <c r="AK210" s="67"/>
      <c r="AL210" s="67"/>
      <c r="AM210" s="67"/>
      <c r="AN210" s="67">
        <f t="shared" si="158"/>
        <v>0</v>
      </c>
    </row>
    <row r="211" spans="2:40" outlineLevel="2" x14ac:dyDescent="0.25">
      <c r="B211" s="63" t="s">
        <v>305</v>
      </c>
      <c r="C211" s="64">
        <v>805000427</v>
      </c>
      <c r="D211" s="65" t="s">
        <v>291</v>
      </c>
      <c r="E211" s="66">
        <v>927</v>
      </c>
      <c r="F211" s="66">
        <v>0</v>
      </c>
      <c r="G211" s="66">
        <v>0</v>
      </c>
      <c r="H211" s="66">
        <f t="shared" si="98"/>
        <v>0</v>
      </c>
      <c r="I211" s="66">
        <v>0</v>
      </c>
      <c r="J211" s="66">
        <v>0</v>
      </c>
      <c r="K211" s="66">
        <v>0</v>
      </c>
      <c r="L211" s="66">
        <v>0</v>
      </c>
      <c r="M211" s="66">
        <v>0</v>
      </c>
      <c r="N211" s="66">
        <v>393531080.88</v>
      </c>
      <c r="O211" s="66">
        <v>0</v>
      </c>
      <c r="P211" s="66">
        <v>0</v>
      </c>
      <c r="Q211" s="67">
        <f t="shared" ref="Q211:Q250" si="159">SUM(H211:P211)</f>
        <v>393531080.88</v>
      </c>
      <c r="S211" s="88">
        <v>0</v>
      </c>
      <c r="T211" s="89">
        <v>0</v>
      </c>
      <c r="U211" s="89">
        <v>0</v>
      </c>
      <c r="V211" s="89">
        <v>0</v>
      </c>
      <c r="W211" s="89">
        <v>0</v>
      </c>
      <c r="X211" s="89">
        <v>0</v>
      </c>
      <c r="Y211" s="89">
        <v>0</v>
      </c>
      <c r="Z211" s="67">
        <f t="shared" si="157"/>
        <v>0</v>
      </c>
      <c r="AA211" s="62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>
        <f t="shared" si="158"/>
        <v>0</v>
      </c>
    </row>
    <row r="212" spans="2:40" outlineLevel="2" x14ac:dyDescent="0.25">
      <c r="B212" s="63" t="s">
        <v>305</v>
      </c>
      <c r="C212" s="64">
        <v>811004055</v>
      </c>
      <c r="D212" s="65" t="s">
        <v>292</v>
      </c>
      <c r="E212" s="66">
        <v>3284</v>
      </c>
      <c r="F212" s="66">
        <v>0</v>
      </c>
      <c r="G212" s="66">
        <v>0</v>
      </c>
      <c r="H212" s="66">
        <f t="shared" si="98"/>
        <v>0</v>
      </c>
      <c r="I212" s="66">
        <v>0</v>
      </c>
      <c r="J212" s="66">
        <v>0</v>
      </c>
      <c r="K212" s="66">
        <v>0</v>
      </c>
      <c r="L212" s="66">
        <v>0</v>
      </c>
      <c r="M212" s="66">
        <v>0</v>
      </c>
      <c r="N212" s="66">
        <v>2983106202</v>
      </c>
      <c r="O212" s="66">
        <v>0</v>
      </c>
      <c r="P212" s="66">
        <v>0</v>
      </c>
      <c r="Q212" s="67">
        <f t="shared" si="159"/>
        <v>2983106202</v>
      </c>
      <c r="S212" s="88">
        <v>0</v>
      </c>
      <c r="T212" s="89">
        <v>0</v>
      </c>
      <c r="U212" s="89">
        <v>0</v>
      </c>
      <c r="V212" s="89">
        <v>0</v>
      </c>
      <c r="W212" s="89">
        <v>0</v>
      </c>
      <c r="X212" s="89">
        <v>0</v>
      </c>
      <c r="Y212" s="89">
        <v>0</v>
      </c>
      <c r="Z212" s="67">
        <f t="shared" si="157"/>
        <v>0</v>
      </c>
      <c r="AA212" s="62"/>
      <c r="AB212" s="67"/>
      <c r="AC212" s="67"/>
      <c r="AD212" s="67"/>
      <c r="AE212" s="67"/>
      <c r="AF212" s="67"/>
      <c r="AG212" s="67"/>
      <c r="AH212" s="67"/>
      <c r="AI212" s="67"/>
      <c r="AJ212" s="67"/>
      <c r="AK212" s="67"/>
      <c r="AL212" s="67"/>
      <c r="AM212" s="67"/>
      <c r="AN212" s="67">
        <f t="shared" si="158"/>
        <v>0</v>
      </c>
    </row>
    <row r="213" spans="2:40" outlineLevel="2" x14ac:dyDescent="0.25">
      <c r="B213" s="63" t="s">
        <v>305</v>
      </c>
      <c r="C213" s="64">
        <v>818000140</v>
      </c>
      <c r="D213" s="65" t="s">
        <v>293</v>
      </c>
      <c r="E213" s="66">
        <v>1253</v>
      </c>
      <c r="F213" s="66">
        <v>0</v>
      </c>
      <c r="G213" s="66">
        <v>0</v>
      </c>
      <c r="H213" s="66">
        <f t="shared" si="98"/>
        <v>0</v>
      </c>
      <c r="I213" s="66">
        <v>0</v>
      </c>
      <c r="J213" s="66">
        <v>0</v>
      </c>
      <c r="K213" s="66">
        <v>0</v>
      </c>
      <c r="L213" s="66">
        <v>0</v>
      </c>
      <c r="M213" s="66">
        <v>0</v>
      </c>
      <c r="N213" s="66">
        <v>1441579409</v>
      </c>
      <c r="O213" s="66">
        <v>0</v>
      </c>
      <c r="P213" s="66">
        <v>0</v>
      </c>
      <c r="Q213" s="67">
        <f t="shared" si="159"/>
        <v>1441579409</v>
      </c>
      <c r="S213" s="88">
        <v>0</v>
      </c>
      <c r="T213" s="89">
        <v>0</v>
      </c>
      <c r="U213" s="89">
        <v>0</v>
      </c>
      <c r="V213" s="89">
        <v>0</v>
      </c>
      <c r="W213" s="89">
        <v>0</v>
      </c>
      <c r="X213" s="89">
        <v>0</v>
      </c>
      <c r="Y213" s="89">
        <v>0</v>
      </c>
      <c r="Z213" s="67">
        <f t="shared" si="157"/>
        <v>0</v>
      </c>
      <c r="AA213" s="62"/>
      <c r="AB213" s="67"/>
      <c r="AC213" s="67"/>
      <c r="AD213" s="67"/>
      <c r="AE213" s="67"/>
      <c r="AF213" s="67"/>
      <c r="AG213" s="67"/>
      <c r="AH213" s="67"/>
      <c r="AI213" s="67"/>
      <c r="AJ213" s="67"/>
      <c r="AK213" s="67"/>
      <c r="AL213" s="67"/>
      <c r="AM213" s="67"/>
      <c r="AN213" s="67">
        <f t="shared" si="158"/>
        <v>0</v>
      </c>
    </row>
    <row r="214" spans="2:40" outlineLevel="2" x14ac:dyDescent="0.25">
      <c r="B214" s="63" t="s">
        <v>305</v>
      </c>
      <c r="C214" s="64">
        <v>830009783</v>
      </c>
      <c r="D214" s="65" t="s">
        <v>294</v>
      </c>
      <c r="E214" s="66">
        <v>1554</v>
      </c>
      <c r="F214" s="66">
        <v>0</v>
      </c>
      <c r="G214" s="66">
        <v>0</v>
      </c>
      <c r="H214" s="66">
        <f t="shared" si="98"/>
        <v>0</v>
      </c>
      <c r="I214" s="66">
        <v>0</v>
      </c>
      <c r="J214" s="66">
        <v>0</v>
      </c>
      <c r="K214" s="66">
        <v>0</v>
      </c>
      <c r="L214" s="66">
        <v>0</v>
      </c>
      <c r="M214" s="66">
        <v>0</v>
      </c>
      <c r="N214" s="66">
        <v>967428713.06999874</v>
      </c>
      <c r="O214" s="66">
        <v>0</v>
      </c>
      <c r="P214" s="66">
        <v>0</v>
      </c>
      <c r="Q214" s="67">
        <f t="shared" si="159"/>
        <v>967428713.06999874</v>
      </c>
      <c r="S214" s="88">
        <v>0</v>
      </c>
      <c r="T214" s="89">
        <v>0</v>
      </c>
      <c r="U214" s="89">
        <v>0</v>
      </c>
      <c r="V214" s="89">
        <v>0</v>
      </c>
      <c r="W214" s="89">
        <v>0</v>
      </c>
      <c r="X214" s="89">
        <v>0</v>
      </c>
      <c r="Y214" s="89">
        <v>0</v>
      </c>
      <c r="Z214" s="67">
        <f t="shared" si="157"/>
        <v>0</v>
      </c>
      <c r="AA214" s="62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>
        <f t="shared" si="158"/>
        <v>0</v>
      </c>
    </row>
    <row r="215" spans="2:40" outlineLevel="2" x14ac:dyDescent="0.25">
      <c r="B215" s="63" t="s">
        <v>305</v>
      </c>
      <c r="C215" s="64">
        <v>830074184</v>
      </c>
      <c r="D215" s="65" t="s">
        <v>295</v>
      </c>
      <c r="E215" s="66">
        <v>3114</v>
      </c>
      <c r="F215" s="66">
        <v>0</v>
      </c>
      <c r="G215" s="66">
        <v>0</v>
      </c>
      <c r="H215" s="66">
        <f t="shared" si="98"/>
        <v>0</v>
      </c>
      <c r="I215" s="66">
        <v>0</v>
      </c>
      <c r="J215" s="66">
        <v>0</v>
      </c>
      <c r="K215" s="66">
        <v>0</v>
      </c>
      <c r="L215" s="66">
        <v>0</v>
      </c>
      <c r="M215" s="66">
        <v>0</v>
      </c>
      <c r="N215" s="66">
        <v>6359840363.8600006</v>
      </c>
      <c r="O215" s="66">
        <v>0</v>
      </c>
      <c r="P215" s="66">
        <v>0</v>
      </c>
      <c r="Q215" s="67">
        <f t="shared" si="159"/>
        <v>6359840363.8600006</v>
      </c>
      <c r="S215" s="88">
        <v>0</v>
      </c>
      <c r="T215" s="89">
        <v>0</v>
      </c>
      <c r="U215" s="89">
        <v>0</v>
      </c>
      <c r="V215" s="89">
        <v>0</v>
      </c>
      <c r="W215" s="89">
        <v>0</v>
      </c>
      <c r="X215" s="89">
        <v>0</v>
      </c>
      <c r="Y215" s="89">
        <v>0</v>
      </c>
      <c r="Z215" s="67">
        <f t="shared" si="157"/>
        <v>0</v>
      </c>
      <c r="AA215" s="62"/>
      <c r="AB215" s="67"/>
      <c r="AC215" s="67"/>
      <c r="AD215" s="67"/>
      <c r="AE215" s="67"/>
      <c r="AF215" s="67"/>
      <c r="AG215" s="67"/>
      <c r="AH215" s="67"/>
      <c r="AI215" s="67"/>
      <c r="AJ215" s="67"/>
      <c r="AK215" s="67"/>
      <c r="AL215" s="67"/>
      <c r="AM215" s="67"/>
      <c r="AN215" s="67">
        <f t="shared" si="158"/>
        <v>0</v>
      </c>
    </row>
    <row r="216" spans="2:40" outlineLevel="2" x14ac:dyDescent="0.25">
      <c r="B216" s="63" t="s">
        <v>305</v>
      </c>
      <c r="C216" s="64">
        <v>832000760</v>
      </c>
      <c r="D216" s="65" t="s">
        <v>296</v>
      </c>
      <c r="E216" s="66">
        <v>529</v>
      </c>
      <c r="F216" s="66">
        <v>0</v>
      </c>
      <c r="G216" s="66">
        <v>0</v>
      </c>
      <c r="H216" s="66">
        <f t="shared" ref="H216:H279" si="160">+F216+G216</f>
        <v>0</v>
      </c>
      <c r="I216" s="66">
        <v>0</v>
      </c>
      <c r="J216" s="66">
        <v>0</v>
      </c>
      <c r="K216" s="66">
        <v>0</v>
      </c>
      <c r="L216" s="66">
        <v>0</v>
      </c>
      <c r="M216" s="66">
        <v>0</v>
      </c>
      <c r="N216" s="66">
        <v>1094815092.4000003</v>
      </c>
      <c r="O216" s="66">
        <v>0</v>
      </c>
      <c r="P216" s="66">
        <v>0</v>
      </c>
      <c r="Q216" s="67">
        <f t="shared" si="159"/>
        <v>1094815092.4000003</v>
      </c>
      <c r="S216" s="88">
        <v>0</v>
      </c>
      <c r="T216" s="89">
        <v>0</v>
      </c>
      <c r="U216" s="89">
        <v>0</v>
      </c>
      <c r="V216" s="89">
        <v>0</v>
      </c>
      <c r="W216" s="89">
        <v>0</v>
      </c>
      <c r="X216" s="89">
        <v>0</v>
      </c>
      <c r="Y216" s="89">
        <v>0</v>
      </c>
      <c r="Z216" s="67">
        <f t="shared" si="157"/>
        <v>0</v>
      </c>
      <c r="AA216" s="62"/>
      <c r="AB216" s="67"/>
      <c r="AC216" s="67"/>
      <c r="AD216" s="67"/>
      <c r="AE216" s="67"/>
      <c r="AF216" s="67"/>
      <c r="AG216" s="67"/>
      <c r="AH216" s="67"/>
      <c r="AI216" s="67"/>
      <c r="AJ216" s="67"/>
      <c r="AK216" s="67"/>
      <c r="AL216" s="67"/>
      <c r="AM216" s="67"/>
      <c r="AN216" s="67">
        <f t="shared" si="158"/>
        <v>0</v>
      </c>
    </row>
    <row r="217" spans="2:40" outlineLevel="2" x14ac:dyDescent="0.25">
      <c r="B217" s="63" t="s">
        <v>305</v>
      </c>
      <c r="C217" s="64">
        <v>860045904</v>
      </c>
      <c r="D217" s="65" t="s">
        <v>286</v>
      </c>
      <c r="E217" s="66">
        <v>44706</v>
      </c>
      <c r="F217" s="66">
        <v>0</v>
      </c>
      <c r="G217" s="66">
        <v>0</v>
      </c>
      <c r="H217" s="66">
        <f t="shared" si="160"/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v>0</v>
      </c>
      <c r="N217" s="66">
        <v>20089049154.759911</v>
      </c>
      <c r="O217" s="66">
        <v>0</v>
      </c>
      <c r="P217" s="66">
        <v>0</v>
      </c>
      <c r="Q217" s="67">
        <f t="shared" si="159"/>
        <v>20089049154.759911</v>
      </c>
      <c r="S217" s="88">
        <v>0</v>
      </c>
      <c r="T217" s="89">
        <v>0</v>
      </c>
      <c r="U217" s="89">
        <v>0</v>
      </c>
      <c r="V217" s="89">
        <v>0</v>
      </c>
      <c r="W217" s="89">
        <v>0</v>
      </c>
      <c r="X217" s="89">
        <v>0</v>
      </c>
      <c r="Y217" s="89">
        <v>0</v>
      </c>
      <c r="Z217" s="67">
        <f t="shared" si="157"/>
        <v>0</v>
      </c>
      <c r="AA217" s="62"/>
      <c r="AB217" s="67"/>
      <c r="AC217" s="67"/>
      <c r="AD217" s="67"/>
      <c r="AE217" s="67"/>
      <c r="AF217" s="67"/>
      <c r="AG217" s="67"/>
      <c r="AH217" s="67"/>
      <c r="AI217" s="67"/>
      <c r="AJ217" s="67"/>
      <c r="AK217" s="67"/>
      <c r="AL217" s="67"/>
      <c r="AM217" s="67"/>
      <c r="AN217" s="67">
        <f t="shared" si="158"/>
        <v>0</v>
      </c>
    </row>
    <row r="218" spans="2:40" outlineLevel="2" x14ac:dyDescent="0.25">
      <c r="B218" s="63" t="s">
        <v>305</v>
      </c>
      <c r="C218" s="64">
        <v>890480110</v>
      </c>
      <c r="D218" s="65" t="s">
        <v>306</v>
      </c>
      <c r="E218" s="66">
        <v>235</v>
      </c>
      <c r="F218" s="66">
        <v>0</v>
      </c>
      <c r="G218" s="66">
        <v>0</v>
      </c>
      <c r="H218" s="66">
        <f t="shared" si="160"/>
        <v>0</v>
      </c>
      <c r="I218" s="66">
        <v>0</v>
      </c>
      <c r="J218" s="66">
        <v>0</v>
      </c>
      <c r="K218" s="66">
        <v>0</v>
      </c>
      <c r="L218" s="66">
        <v>0</v>
      </c>
      <c r="M218" s="66">
        <v>0</v>
      </c>
      <c r="N218" s="66">
        <v>298159103</v>
      </c>
      <c r="O218" s="66">
        <v>0</v>
      </c>
      <c r="P218" s="66">
        <v>0</v>
      </c>
      <c r="Q218" s="67">
        <f t="shared" si="159"/>
        <v>298159103</v>
      </c>
      <c r="S218" s="88">
        <v>0</v>
      </c>
      <c r="T218" s="89">
        <v>0</v>
      </c>
      <c r="U218" s="89">
        <v>0</v>
      </c>
      <c r="V218" s="89">
        <v>0</v>
      </c>
      <c r="W218" s="89">
        <v>0</v>
      </c>
      <c r="X218" s="89">
        <v>0</v>
      </c>
      <c r="Y218" s="89">
        <v>0</v>
      </c>
      <c r="Z218" s="67">
        <f t="shared" si="157"/>
        <v>0</v>
      </c>
      <c r="AA218" s="62"/>
      <c r="AB218" s="67"/>
      <c r="AC218" s="67"/>
      <c r="AD218" s="67"/>
      <c r="AE218" s="67"/>
      <c r="AF218" s="67"/>
      <c r="AG218" s="67"/>
      <c r="AH218" s="67"/>
      <c r="AI218" s="67"/>
      <c r="AJ218" s="67"/>
      <c r="AK218" s="67"/>
      <c r="AL218" s="67"/>
      <c r="AM218" s="67"/>
      <c r="AN218" s="67">
        <f t="shared" si="158"/>
        <v>0</v>
      </c>
    </row>
    <row r="219" spans="2:40" outlineLevel="2" x14ac:dyDescent="0.25">
      <c r="B219" s="63" t="s">
        <v>305</v>
      </c>
      <c r="C219" s="64">
        <v>890900841</v>
      </c>
      <c r="D219" s="65" t="s">
        <v>307</v>
      </c>
      <c r="E219" s="66">
        <v>50</v>
      </c>
      <c r="F219" s="66">
        <v>0</v>
      </c>
      <c r="G219" s="66">
        <v>0</v>
      </c>
      <c r="H219" s="66">
        <f t="shared" si="160"/>
        <v>0</v>
      </c>
      <c r="I219" s="66">
        <v>0</v>
      </c>
      <c r="J219" s="66">
        <v>0</v>
      </c>
      <c r="K219" s="66">
        <v>0</v>
      </c>
      <c r="L219" s="66">
        <v>0</v>
      </c>
      <c r="M219" s="66">
        <v>0</v>
      </c>
      <c r="N219" s="66">
        <v>41913159</v>
      </c>
      <c r="O219" s="66">
        <v>0</v>
      </c>
      <c r="P219" s="66">
        <v>0</v>
      </c>
      <c r="Q219" s="67">
        <f t="shared" si="159"/>
        <v>41913159</v>
      </c>
      <c r="S219" s="88">
        <v>0</v>
      </c>
      <c r="T219" s="89">
        <v>0</v>
      </c>
      <c r="U219" s="89">
        <v>0</v>
      </c>
      <c r="V219" s="89">
        <v>0</v>
      </c>
      <c r="W219" s="89">
        <v>0</v>
      </c>
      <c r="X219" s="89">
        <v>0</v>
      </c>
      <c r="Y219" s="89">
        <v>0</v>
      </c>
      <c r="Z219" s="67">
        <f t="shared" si="157"/>
        <v>0</v>
      </c>
      <c r="AA219" s="62"/>
      <c r="AB219" s="67"/>
      <c r="AC219" s="67"/>
      <c r="AD219" s="67"/>
      <c r="AE219" s="67"/>
      <c r="AF219" s="67"/>
      <c r="AG219" s="67"/>
      <c r="AH219" s="67"/>
      <c r="AI219" s="67"/>
      <c r="AJ219" s="67"/>
      <c r="AK219" s="67"/>
      <c r="AL219" s="67"/>
      <c r="AM219" s="67"/>
      <c r="AN219" s="67">
        <f t="shared" si="158"/>
        <v>0</v>
      </c>
    </row>
    <row r="220" spans="2:40" outlineLevel="2" x14ac:dyDescent="0.25">
      <c r="B220" s="63" t="s">
        <v>305</v>
      </c>
      <c r="C220" s="64">
        <v>891180008</v>
      </c>
      <c r="D220" s="65" t="s">
        <v>297</v>
      </c>
      <c r="E220" s="66">
        <v>544</v>
      </c>
      <c r="F220" s="66">
        <v>0</v>
      </c>
      <c r="G220" s="66">
        <v>0</v>
      </c>
      <c r="H220" s="66">
        <f t="shared" si="160"/>
        <v>0</v>
      </c>
      <c r="I220" s="66">
        <v>0</v>
      </c>
      <c r="J220" s="66">
        <v>0</v>
      </c>
      <c r="K220" s="66">
        <v>0</v>
      </c>
      <c r="L220" s="66">
        <v>0</v>
      </c>
      <c r="M220" s="66">
        <v>0</v>
      </c>
      <c r="N220" s="66">
        <v>738950602.60000002</v>
      </c>
      <c r="O220" s="66">
        <v>0</v>
      </c>
      <c r="P220" s="66">
        <v>-2697761</v>
      </c>
      <c r="Q220" s="67">
        <f t="shared" si="159"/>
        <v>736252841.60000002</v>
      </c>
      <c r="S220" s="88">
        <v>0</v>
      </c>
      <c r="T220" s="89">
        <v>0</v>
      </c>
      <c r="U220" s="89">
        <v>0</v>
      </c>
      <c r="V220" s="89">
        <v>0</v>
      </c>
      <c r="W220" s="89">
        <v>0</v>
      </c>
      <c r="X220" s="89">
        <v>0</v>
      </c>
      <c r="Y220" s="89">
        <v>0</v>
      </c>
      <c r="Z220" s="67">
        <f t="shared" si="157"/>
        <v>0</v>
      </c>
      <c r="AA220" s="62"/>
      <c r="AB220" s="67"/>
      <c r="AC220" s="67"/>
      <c r="AD220" s="67"/>
      <c r="AE220" s="67"/>
      <c r="AF220" s="67"/>
      <c r="AG220" s="67"/>
      <c r="AH220" s="67"/>
      <c r="AI220" s="67"/>
      <c r="AJ220" s="67"/>
      <c r="AK220" s="67"/>
      <c r="AL220" s="67"/>
      <c r="AM220" s="67"/>
      <c r="AN220" s="67">
        <f t="shared" si="158"/>
        <v>0</v>
      </c>
    </row>
    <row r="221" spans="2:40" outlineLevel="2" x14ac:dyDescent="0.25">
      <c r="B221" s="63" t="s">
        <v>305</v>
      </c>
      <c r="C221" s="64">
        <v>891280008</v>
      </c>
      <c r="D221" s="65" t="s">
        <v>298</v>
      </c>
      <c r="E221" s="66">
        <v>210</v>
      </c>
      <c r="F221" s="66">
        <v>0</v>
      </c>
      <c r="G221" s="66">
        <v>0</v>
      </c>
      <c r="H221" s="66">
        <f t="shared" si="160"/>
        <v>0</v>
      </c>
      <c r="I221" s="66">
        <v>0</v>
      </c>
      <c r="J221" s="66">
        <v>0</v>
      </c>
      <c r="K221" s="66">
        <v>0</v>
      </c>
      <c r="L221" s="66">
        <v>0</v>
      </c>
      <c r="M221" s="66">
        <v>0</v>
      </c>
      <c r="N221" s="66">
        <v>83608224</v>
      </c>
      <c r="O221" s="66">
        <v>0</v>
      </c>
      <c r="P221" s="66">
        <v>0</v>
      </c>
      <c r="Q221" s="67">
        <f t="shared" si="159"/>
        <v>83608224</v>
      </c>
      <c r="S221" s="88">
        <v>0</v>
      </c>
      <c r="T221" s="89">
        <v>0</v>
      </c>
      <c r="U221" s="89">
        <v>0</v>
      </c>
      <c r="V221" s="89">
        <v>0</v>
      </c>
      <c r="W221" s="89">
        <v>0</v>
      </c>
      <c r="X221" s="89">
        <v>0</v>
      </c>
      <c r="Y221" s="89">
        <v>0</v>
      </c>
      <c r="Z221" s="67">
        <f t="shared" si="157"/>
        <v>0</v>
      </c>
      <c r="AA221" s="62"/>
      <c r="AB221" s="67"/>
      <c r="AC221" s="67"/>
      <c r="AD221" s="67"/>
      <c r="AE221" s="67"/>
      <c r="AF221" s="67"/>
      <c r="AG221" s="67"/>
      <c r="AH221" s="67"/>
      <c r="AI221" s="67"/>
      <c r="AJ221" s="67"/>
      <c r="AK221" s="67"/>
      <c r="AL221" s="67"/>
      <c r="AM221" s="67"/>
      <c r="AN221" s="67">
        <f t="shared" si="158"/>
        <v>0</v>
      </c>
    </row>
    <row r="222" spans="2:40" outlineLevel="2" x14ac:dyDescent="0.25">
      <c r="B222" s="63" t="s">
        <v>305</v>
      </c>
      <c r="C222" s="64">
        <v>892115006</v>
      </c>
      <c r="D222" s="65" t="s">
        <v>308</v>
      </c>
      <c r="E222" s="66">
        <v>107</v>
      </c>
      <c r="F222" s="66">
        <v>0</v>
      </c>
      <c r="G222" s="66">
        <v>0</v>
      </c>
      <c r="H222" s="66">
        <f t="shared" si="160"/>
        <v>0</v>
      </c>
      <c r="I222" s="66">
        <v>0</v>
      </c>
      <c r="J222" s="66">
        <v>0</v>
      </c>
      <c r="K222" s="66">
        <v>0</v>
      </c>
      <c r="L222" s="66">
        <v>0</v>
      </c>
      <c r="M222" s="66">
        <v>0</v>
      </c>
      <c r="N222" s="66">
        <v>65306571</v>
      </c>
      <c r="O222" s="66">
        <v>0</v>
      </c>
      <c r="P222" s="66">
        <v>0</v>
      </c>
      <c r="Q222" s="67">
        <f t="shared" si="159"/>
        <v>65306571</v>
      </c>
      <c r="S222" s="88">
        <v>0</v>
      </c>
      <c r="T222" s="89">
        <v>0</v>
      </c>
      <c r="U222" s="89">
        <v>0</v>
      </c>
      <c r="V222" s="89">
        <v>0</v>
      </c>
      <c r="W222" s="89">
        <v>0</v>
      </c>
      <c r="X222" s="89">
        <v>0</v>
      </c>
      <c r="Y222" s="89">
        <v>0</v>
      </c>
      <c r="Z222" s="67">
        <f t="shared" si="157"/>
        <v>0</v>
      </c>
      <c r="AA222" s="62"/>
      <c r="AB222" s="67"/>
      <c r="AC222" s="67"/>
      <c r="AD222" s="67"/>
      <c r="AE222" s="67"/>
      <c r="AF222" s="67"/>
      <c r="AG222" s="67"/>
      <c r="AH222" s="67"/>
      <c r="AI222" s="67"/>
      <c r="AJ222" s="67"/>
      <c r="AK222" s="67"/>
      <c r="AL222" s="67"/>
      <c r="AM222" s="67"/>
      <c r="AN222" s="67">
        <f t="shared" si="158"/>
        <v>0</v>
      </c>
    </row>
    <row r="223" spans="2:40" outlineLevel="2" x14ac:dyDescent="0.25">
      <c r="B223" s="63" t="s">
        <v>305</v>
      </c>
      <c r="C223" s="64">
        <v>892200015</v>
      </c>
      <c r="D223" s="65" t="s">
        <v>309</v>
      </c>
      <c r="E223" s="66">
        <v>137</v>
      </c>
      <c r="F223" s="66">
        <v>0</v>
      </c>
      <c r="G223" s="66">
        <v>0</v>
      </c>
      <c r="H223" s="66">
        <f t="shared" si="160"/>
        <v>0</v>
      </c>
      <c r="I223" s="66">
        <v>0</v>
      </c>
      <c r="J223" s="66">
        <v>0</v>
      </c>
      <c r="K223" s="66">
        <v>0</v>
      </c>
      <c r="L223" s="66">
        <v>0</v>
      </c>
      <c r="M223" s="66">
        <v>0</v>
      </c>
      <c r="N223" s="66">
        <v>62253533</v>
      </c>
      <c r="O223" s="66">
        <v>0</v>
      </c>
      <c r="P223" s="66">
        <v>0</v>
      </c>
      <c r="Q223" s="67">
        <f t="shared" si="159"/>
        <v>62253533</v>
      </c>
      <c r="S223" s="88">
        <v>0</v>
      </c>
      <c r="T223" s="89">
        <v>0</v>
      </c>
      <c r="U223" s="89">
        <v>0</v>
      </c>
      <c r="V223" s="89">
        <v>0</v>
      </c>
      <c r="W223" s="89">
        <v>0</v>
      </c>
      <c r="X223" s="89">
        <v>0</v>
      </c>
      <c r="Y223" s="89">
        <v>0</v>
      </c>
      <c r="Z223" s="67">
        <f t="shared" si="157"/>
        <v>0</v>
      </c>
      <c r="AA223" s="62"/>
      <c r="AB223" s="67"/>
      <c r="AC223" s="67"/>
      <c r="AD223" s="67"/>
      <c r="AE223" s="67"/>
      <c r="AF223" s="67"/>
      <c r="AG223" s="67"/>
      <c r="AH223" s="67"/>
      <c r="AI223" s="67"/>
      <c r="AJ223" s="67"/>
      <c r="AK223" s="67"/>
      <c r="AL223" s="67"/>
      <c r="AM223" s="67"/>
      <c r="AN223" s="67">
        <f t="shared" si="158"/>
        <v>0</v>
      </c>
    </row>
    <row r="224" spans="2:40" outlineLevel="2" x14ac:dyDescent="0.25">
      <c r="B224" s="63" t="s">
        <v>305</v>
      </c>
      <c r="C224" s="64">
        <v>899999026</v>
      </c>
      <c r="D224" s="65" t="s">
        <v>299</v>
      </c>
      <c r="E224" s="66">
        <v>510</v>
      </c>
      <c r="F224" s="66">
        <v>0</v>
      </c>
      <c r="G224" s="66">
        <v>0</v>
      </c>
      <c r="H224" s="66">
        <f t="shared" si="160"/>
        <v>0</v>
      </c>
      <c r="I224" s="66">
        <v>0</v>
      </c>
      <c r="J224" s="66">
        <v>0</v>
      </c>
      <c r="K224" s="66">
        <v>0</v>
      </c>
      <c r="L224" s="66">
        <v>0</v>
      </c>
      <c r="M224" s="66">
        <v>0</v>
      </c>
      <c r="N224" s="66">
        <v>269006704.51999998</v>
      </c>
      <c r="O224" s="66">
        <v>0</v>
      </c>
      <c r="P224" s="66">
        <v>0</v>
      </c>
      <c r="Q224" s="67">
        <f t="shared" si="159"/>
        <v>269006704.51999998</v>
      </c>
      <c r="S224" s="88">
        <v>0</v>
      </c>
      <c r="T224" s="89">
        <v>0</v>
      </c>
      <c r="U224" s="89">
        <v>0</v>
      </c>
      <c r="V224" s="89">
        <v>0</v>
      </c>
      <c r="W224" s="89">
        <v>0</v>
      </c>
      <c r="X224" s="89">
        <v>0</v>
      </c>
      <c r="Y224" s="89">
        <v>0</v>
      </c>
      <c r="Z224" s="67">
        <f t="shared" si="157"/>
        <v>0</v>
      </c>
      <c r="AA224" s="62"/>
      <c r="AB224" s="67"/>
      <c r="AC224" s="67"/>
      <c r="AD224" s="67"/>
      <c r="AE224" s="67"/>
      <c r="AF224" s="67"/>
      <c r="AG224" s="67"/>
      <c r="AH224" s="67"/>
      <c r="AI224" s="67"/>
      <c r="AJ224" s="67"/>
      <c r="AK224" s="67"/>
      <c r="AL224" s="67"/>
      <c r="AM224" s="67"/>
      <c r="AN224" s="67">
        <f t="shared" si="158"/>
        <v>0</v>
      </c>
    </row>
    <row r="225" spans="2:40" outlineLevel="2" x14ac:dyDescent="0.25">
      <c r="B225" s="63" t="s">
        <v>305</v>
      </c>
      <c r="C225" s="64">
        <v>899999107</v>
      </c>
      <c r="D225" s="65" t="s">
        <v>300</v>
      </c>
      <c r="E225" s="66">
        <v>2016</v>
      </c>
      <c r="F225" s="66">
        <v>0</v>
      </c>
      <c r="G225" s="66">
        <v>0</v>
      </c>
      <c r="H225" s="66">
        <f t="shared" si="160"/>
        <v>0</v>
      </c>
      <c r="I225" s="66">
        <v>0</v>
      </c>
      <c r="J225" s="66">
        <v>0</v>
      </c>
      <c r="K225" s="66">
        <v>0</v>
      </c>
      <c r="L225" s="66">
        <v>0</v>
      </c>
      <c r="M225" s="66">
        <v>0</v>
      </c>
      <c r="N225" s="66">
        <v>5089304621.2999992</v>
      </c>
      <c r="O225" s="66">
        <v>0</v>
      </c>
      <c r="P225" s="66">
        <v>0</v>
      </c>
      <c r="Q225" s="67">
        <f t="shared" si="159"/>
        <v>5089304621.2999992</v>
      </c>
      <c r="S225" s="88">
        <v>0</v>
      </c>
      <c r="T225" s="89">
        <v>0</v>
      </c>
      <c r="U225" s="89">
        <v>0</v>
      </c>
      <c r="V225" s="89">
        <v>0</v>
      </c>
      <c r="W225" s="89">
        <v>0</v>
      </c>
      <c r="X225" s="89">
        <v>0</v>
      </c>
      <c r="Y225" s="89">
        <v>0</v>
      </c>
      <c r="Z225" s="67">
        <f t="shared" si="157"/>
        <v>0</v>
      </c>
      <c r="AA225" s="62"/>
      <c r="AB225" s="67"/>
      <c r="AC225" s="67"/>
      <c r="AD225" s="67"/>
      <c r="AE225" s="67"/>
      <c r="AF225" s="67"/>
      <c r="AG225" s="67"/>
      <c r="AH225" s="67"/>
      <c r="AI225" s="67"/>
      <c r="AJ225" s="67"/>
      <c r="AK225" s="67"/>
      <c r="AL225" s="67"/>
      <c r="AM225" s="67"/>
      <c r="AN225" s="67">
        <f t="shared" si="158"/>
        <v>0</v>
      </c>
    </row>
    <row r="226" spans="2:40" outlineLevel="2" x14ac:dyDescent="0.25">
      <c r="B226" s="63" t="s">
        <v>305</v>
      </c>
      <c r="C226" s="64">
        <v>900048962</v>
      </c>
      <c r="D226" s="65" t="s">
        <v>310</v>
      </c>
      <c r="E226" s="66">
        <v>46</v>
      </c>
      <c r="F226" s="66">
        <v>0</v>
      </c>
      <c r="G226" s="66">
        <v>0</v>
      </c>
      <c r="H226" s="66">
        <f t="shared" si="160"/>
        <v>0</v>
      </c>
      <c r="I226" s="66">
        <v>0</v>
      </c>
      <c r="J226" s="66">
        <v>0</v>
      </c>
      <c r="K226" s="66">
        <v>0</v>
      </c>
      <c r="L226" s="66">
        <v>0</v>
      </c>
      <c r="M226" s="66">
        <v>0</v>
      </c>
      <c r="N226" s="66">
        <v>58693365</v>
      </c>
      <c r="O226" s="66">
        <v>0</v>
      </c>
      <c r="P226" s="66">
        <v>0</v>
      </c>
      <c r="Q226" s="67">
        <f t="shared" si="159"/>
        <v>58693365</v>
      </c>
      <c r="S226" s="88">
        <v>0</v>
      </c>
      <c r="T226" s="89">
        <v>0</v>
      </c>
      <c r="U226" s="89">
        <v>0</v>
      </c>
      <c r="V226" s="89">
        <v>0</v>
      </c>
      <c r="W226" s="89">
        <v>0</v>
      </c>
      <c r="X226" s="89">
        <v>0</v>
      </c>
      <c r="Y226" s="89">
        <v>0</v>
      </c>
      <c r="Z226" s="67">
        <f t="shared" si="157"/>
        <v>0</v>
      </c>
      <c r="AA226" s="62"/>
      <c r="AB226" s="67"/>
      <c r="AC226" s="67"/>
      <c r="AD226" s="67"/>
      <c r="AE226" s="67"/>
      <c r="AF226" s="67"/>
      <c r="AG226" s="67"/>
      <c r="AH226" s="67"/>
      <c r="AI226" s="67"/>
      <c r="AJ226" s="67"/>
      <c r="AK226" s="67"/>
      <c r="AL226" s="67"/>
      <c r="AM226" s="67"/>
      <c r="AN226" s="67">
        <f t="shared" si="158"/>
        <v>0</v>
      </c>
    </row>
    <row r="227" spans="2:40" outlineLevel="2" x14ac:dyDescent="0.25">
      <c r="B227" s="63" t="s">
        <v>305</v>
      </c>
      <c r="C227" s="64">
        <v>901093846</v>
      </c>
      <c r="D227" s="65" t="s">
        <v>301</v>
      </c>
      <c r="E227" s="66">
        <v>1246</v>
      </c>
      <c r="F227" s="66">
        <v>0</v>
      </c>
      <c r="G227" s="66">
        <v>0</v>
      </c>
      <c r="H227" s="66">
        <f t="shared" si="160"/>
        <v>0</v>
      </c>
      <c r="I227" s="66">
        <v>0</v>
      </c>
      <c r="J227" s="66">
        <v>0</v>
      </c>
      <c r="K227" s="66">
        <v>0</v>
      </c>
      <c r="L227" s="66">
        <v>0</v>
      </c>
      <c r="M227" s="66">
        <v>0</v>
      </c>
      <c r="N227" s="66">
        <v>2393650981.3000002</v>
      </c>
      <c r="O227" s="66">
        <v>0</v>
      </c>
      <c r="P227" s="66">
        <v>0</v>
      </c>
      <c r="Q227" s="67">
        <f t="shared" si="159"/>
        <v>2393650981.3000002</v>
      </c>
      <c r="S227" s="88">
        <v>0</v>
      </c>
      <c r="T227" s="89">
        <v>0</v>
      </c>
      <c r="U227" s="89">
        <v>0</v>
      </c>
      <c r="V227" s="89">
        <v>0</v>
      </c>
      <c r="W227" s="89">
        <v>0</v>
      </c>
      <c r="X227" s="89">
        <v>0</v>
      </c>
      <c r="Y227" s="89">
        <v>0</v>
      </c>
      <c r="Z227" s="67">
        <f t="shared" si="157"/>
        <v>0</v>
      </c>
      <c r="AA227" s="62"/>
      <c r="AB227" s="67"/>
      <c r="AC227" s="67"/>
      <c r="AD227" s="67"/>
      <c r="AE227" s="67"/>
      <c r="AF227" s="67"/>
      <c r="AG227" s="67"/>
      <c r="AH227" s="67"/>
      <c r="AI227" s="67"/>
      <c r="AJ227" s="67"/>
      <c r="AK227" s="67"/>
      <c r="AL227" s="67"/>
      <c r="AM227" s="67"/>
      <c r="AN227" s="67">
        <f t="shared" si="158"/>
        <v>0</v>
      </c>
    </row>
    <row r="228" spans="2:40" ht="12" outlineLevel="2" thickBot="1" x14ac:dyDescent="0.3">
      <c r="B228" s="63" t="s">
        <v>305</v>
      </c>
      <c r="C228" s="64">
        <v>901097473</v>
      </c>
      <c r="D228" s="65" t="s">
        <v>302</v>
      </c>
      <c r="E228" s="66">
        <v>3230</v>
      </c>
      <c r="F228" s="66">
        <v>0</v>
      </c>
      <c r="G228" s="66">
        <v>0</v>
      </c>
      <c r="H228" s="66">
        <f t="shared" si="160"/>
        <v>0</v>
      </c>
      <c r="I228" s="66">
        <v>0</v>
      </c>
      <c r="J228" s="66">
        <v>0</v>
      </c>
      <c r="K228" s="66">
        <v>0</v>
      </c>
      <c r="L228" s="66">
        <v>0</v>
      </c>
      <c r="M228" s="66">
        <v>0</v>
      </c>
      <c r="N228" s="66">
        <v>5335304151.9099998</v>
      </c>
      <c r="O228" s="66">
        <v>0</v>
      </c>
      <c r="P228" s="66">
        <v>0</v>
      </c>
      <c r="Q228" s="67">
        <f t="shared" si="159"/>
        <v>5335304151.9099998</v>
      </c>
      <c r="S228" s="88">
        <v>0</v>
      </c>
      <c r="T228" s="89">
        <v>0</v>
      </c>
      <c r="U228" s="89">
        <v>0</v>
      </c>
      <c r="V228" s="89">
        <v>0</v>
      </c>
      <c r="W228" s="89">
        <v>0</v>
      </c>
      <c r="X228" s="89">
        <v>0</v>
      </c>
      <c r="Y228" s="89">
        <v>0</v>
      </c>
      <c r="Z228" s="67">
        <f t="shared" si="157"/>
        <v>0</v>
      </c>
      <c r="AA228" s="62"/>
      <c r="AB228" s="67"/>
      <c r="AC228" s="67"/>
      <c r="AD228" s="67"/>
      <c r="AE228" s="67"/>
      <c r="AF228" s="67"/>
      <c r="AG228" s="67"/>
      <c r="AH228" s="67"/>
      <c r="AI228" s="67"/>
      <c r="AJ228" s="67"/>
      <c r="AK228" s="67"/>
      <c r="AL228" s="67"/>
      <c r="AM228" s="67"/>
      <c r="AN228" s="67">
        <f t="shared" si="158"/>
        <v>0</v>
      </c>
    </row>
    <row r="229" spans="2:40" ht="12" outlineLevel="1" thickBot="1" x14ac:dyDescent="0.3">
      <c r="B229" s="75" t="s">
        <v>311</v>
      </c>
      <c r="C229" s="76"/>
      <c r="D229" s="76"/>
      <c r="E229" s="77">
        <f>SUBTOTAL(9,E191:E228)</f>
        <v>102801</v>
      </c>
      <c r="F229" s="77">
        <f t="shared" ref="F229:Z229" si="161">SUBTOTAL(9,F191:F228)</f>
        <v>0</v>
      </c>
      <c r="G229" s="77">
        <f t="shared" si="161"/>
        <v>0</v>
      </c>
      <c r="H229" s="77">
        <f t="shared" si="161"/>
        <v>0</v>
      </c>
      <c r="I229" s="77">
        <f t="shared" si="161"/>
        <v>0</v>
      </c>
      <c r="J229" s="77">
        <f t="shared" si="161"/>
        <v>0</v>
      </c>
      <c r="K229" s="77">
        <f t="shared" si="161"/>
        <v>0</v>
      </c>
      <c r="L229" s="77">
        <f t="shared" si="161"/>
        <v>0</v>
      </c>
      <c r="M229" s="77">
        <f t="shared" si="161"/>
        <v>0</v>
      </c>
      <c r="N229" s="77">
        <f t="shared" si="161"/>
        <v>80537773777.389984</v>
      </c>
      <c r="O229" s="77">
        <f t="shared" si="161"/>
        <v>0</v>
      </c>
      <c r="P229" s="77">
        <f t="shared" si="161"/>
        <v>-387639520.68999994</v>
      </c>
      <c r="Q229" s="77">
        <f t="shared" si="161"/>
        <v>80150134256.699982</v>
      </c>
      <c r="S229" s="90">
        <f t="shared" si="161"/>
        <v>0</v>
      </c>
      <c r="T229" s="77">
        <f t="shared" si="161"/>
        <v>0</v>
      </c>
      <c r="U229" s="77">
        <f t="shared" si="161"/>
        <v>0</v>
      </c>
      <c r="V229" s="77">
        <f t="shared" si="161"/>
        <v>0</v>
      </c>
      <c r="W229" s="77">
        <f t="shared" si="161"/>
        <v>0</v>
      </c>
      <c r="X229" s="77">
        <f t="shared" si="161"/>
        <v>0</v>
      </c>
      <c r="Y229" s="77">
        <f t="shared" si="161"/>
        <v>0</v>
      </c>
      <c r="Z229" s="78">
        <f t="shared" si="161"/>
        <v>0</v>
      </c>
      <c r="AA229" s="62"/>
      <c r="AB229" s="77">
        <f t="shared" ref="AB229:AN229" si="162">SUBTOTAL(9,AB191:AB228)</f>
        <v>0</v>
      </c>
      <c r="AC229" s="77">
        <f t="shared" si="162"/>
        <v>0</v>
      </c>
      <c r="AD229" s="77">
        <f t="shared" si="162"/>
        <v>0</v>
      </c>
      <c r="AE229" s="77">
        <f t="shared" si="162"/>
        <v>0</v>
      </c>
      <c r="AF229" s="77">
        <f t="shared" si="162"/>
        <v>0</v>
      </c>
      <c r="AG229" s="77">
        <f t="shared" si="162"/>
        <v>0</v>
      </c>
      <c r="AH229" s="77">
        <f t="shared" si="162"/>
        <v>0</v>
      </c>
      <c r="AI229" s="77">
        <f t="shared" si="162"/>
        <v>0</v>
      </c>
      <c r="AJ229" s="77">
        <f t="shared" si="162"/>
        <v>0</v>
      </c>
      <c r="AK229" s="77">
        <f t="shared" si="162"/>
        <v>0</v>
      </c>
      <c r="AL229" s="77">
        <f t="shared" si="162"/>
        <v>0</v>
      </c>
      <c r="AM229" s="77">
        <f t="shared" si="162"/>
        <v>0</v>
      </c>
      <c r="AN229" s="77">
        <f t="shared" si="162"/>
        <v>0</v>
      </c>
    </row>
    <row r="230" spans="2:40" outlineLevel="2" x14ac:dyDescent="0.25">
      <c r="B230" s="63" t="s">
        <v>312</v>
      </c>
      <c r="C230" s="64">
        <v>800105552</v>
      </c>
      <c r="D230" s="65" t="s">
        <v>313</v>
      </c>
      <c r="E230" s="66">
        <v>2</v>
      </c>
      <c r="F230" s="66">
        <v>0</v>
      </c>
      <c r="G230" s="66">
        <v>52109700</v>
      </c>
      <c r="H230" s="66">
        <f t="shared" si="160"/>
        <v>52109700</v>
      </c>
      <c r="I230" s="66">
        <v>42110300</v>
      </c>
      <c r="J230" s="66">
        <v>0</v>
      </c>
      <c r="K230" s="66">
        <v>0</v>
      </c>
      <c r="L230" s="66">
        <v>0</v>
      </c>
      <c r="M230" s="66">
        <v>0</v>
      </c>
      <c r="N230" s="66">
        <v>0</v>
      </c>
      <c r="O230" s="66">
        <v>0</v>
      </c>
      <c r="P230" s="66">
        <v>-94220000</v>
      </c>
      <c r="Q230" s="67">
        <f t="shared" si="159"/>
        <v>0</v>
      </c>
      <c r="S230" s="68">
        <f t="shared" ref="S230:T233" si="163">+H230*50%</f>
        <v>26054850</v>
      </c>
      <c r="T230" s="67">
        <f t="shared" si="163"/>
        <v>21055150</v>
      </c>
      <c r="U230" s="67">
        <f t="shared" ref="U230:U233" si="164">+J230*60%</f>
        <v>0</v>
      </c>
      <c r="V230" s="67">
        <f t="shared" ref="V230:V233" si="165">+K230*70%</f>
        <v>0</v>
      </c>
      <c r="W230" s="67">
        <f t="shared" ref="W230:W233" si="166">+L230*0.7</f>
        <v>0</v>
      </c>
      <c r="X230" s="67">
        <f t="shared" ref="X230:X233" si="167">+M230*0.75</f>
        <v>0</v>
      </c>
      <c r="Y230" s="67">
        <v>0</v>
      </c>
      <c r="Z230" s="67">
        <f t="shared" ref="Z230:Z233" si="168">+SUM(S230:Y230)</f>
        <v>47110000</v>
      </c>
      <c r="AA230" s="62"/>
      <c r="AB230" s="67">
        <f t="shared" ref="AB230:AG233" si="169">+S230</f>
        <v>26054850</v>
      </c>
      <c r="AC230" s="67">
        <f t="shared" si="169"/>
        <v>21055150</v>
      </c>
      <c r="AD230" s="67">
        <f t="shared" si="169"/>
        <v>0</v>
      </c>
      <c r="AE230" s="67">
        <f t="shared" si="169"/>
        <v>0</v>
      </c>
      <c r="AF230" s="67">
        <f t="shared" si="169"/>
        <v>0</v>
      </c>
      <c r="AG230" s="67">
        <f t="shared" si="169"/>
        <v>0</v>
      </c>
      <c r="AH230" s="67">
        <f t="shared" ref="AH230:AH233" si="170">+Y230/3</f>
        <v>0</v>
      </c>
      <c r="AI230" s="67">
        <f t="shared" ref="AI230:AJ233" si="171">+AH230</f>
        <v>0</v>
      </c>
      <c r="AJ230" s="67">
        <f t="shared" si="171"/>
        <v>0</v>
      </c>
      <c r="AK230" s="67"/>
      <c r="AL230" s="67"/>
      <c r="AM230" s="67"/>
      <c r="AN230" s="67">
        <f t="shared" ref="AN230:AN233" si="172">+SUM(AB230:AM230)</f>
        <v>47110000</v>
      </c>
    </row>
    <row r="231" spans="2:40" outlineLevel="2" x14ac:dyDescent="0.25">
      <c r="B231" s="63" t="s">
        <v>312</v>
      </c>
      <c r="C231" s="64">
        <v>830063506</v>
      </c>
      <c r="D231" s="65" t="s">
        <v>314</v>
      </c>
      <c r="E231" s="66">
        <v>5</v>
      </c>
      <c r="F231" s="66">
        <v>0</v>
      </c>
      <c r="G231" s="66">
        <v>250603876</v>
      </c>
      <c r="H231" s="66">
        <f t="shared" si="160"/>
        <v>250603876</v>
      </c>
      <c r="I231" s="66">
        <v>125301938</v>
      </c>
      <c r="J231" s="66">
        <v>0</v>
      </c>
      <c r="K231" s="66">
        <v>0</v>
      </c>
      <c r="L231" s="66">
        <v>4831393</v>
      </c>
      <c r="M231" s="66">
        <v>0</v>
      </c>
      <c r="N231" s="66">
        <v>0</v>
      </c>
      <c r="O231" s="66">
        <v>0</v>
      </c>
      <c r="P231" s="66">
        <v>-375905814</v>
      </c>
      <c r="Q231" s="67">
        <f t="shared" si="159"/>
        <v>4831393</v>
      </c>
      <c r="S231" s="68">
        <f t="shared" si="163"/>
        <v>125301938</v>
      </c>
      <c r="T231" s="67">
        <f t="shared" si="163"/>
        <v>62650969</v>
      </c>
      <c r="U231" s="67">
        <f t="shared" si="164"/>
        <v>0</v>
      </c>
      <c r="V231" s="67">
        <f t="shared" si="165"/>
        <v>0</v>
      </c>
      <c r="W231" s="67">
        <f t="shared" si="166"/>
        <v>3381975.0999999996</v>
      </c>
      <c r="X231" s="67">
        <f t="shared" si="167"/>
        <v>0</v>
      </c>
      <c r="Y231" s="67">
        <v>0</v>
      </c>
      <c r="Z231" s="67">
        <f t="shared" si="168"/>
        <v>191334882.09999999</v>
      </c>
      <c r="AA231" s="62"/>
      <c r="AB231" s="67">
        <f t="shared" si="169"/>
        <v>125301938</v>
      </c>
      <c r="AC231" s="67">
        <f t="shared" si="169"/>
        <v>62650969</v>
      </c>
      <c r="AD231" s="67">
        <f t="shared" si="169"/>
        <v>0</v>
      </c>
      <c r="AE231" s="67">
        <f t="shared" si="169"/>
        <v>0</v>
      </c>
      <c r="AF231" s="67">
        <f t="shared" si="169"/>
        <v>3381975.0999999996</v>
      </c>
      <c r="AG231" s="67">
        <f t="shared" si="169"/>
        <v>0</v>
      </c>
      <c r="AH231" s="67">
        <f t="shared" si="170"/>
        <v>0</v>
      </c>
      <c r="AI231" s="67">
        <f t="shared" si="171"/>
        <v>0</v>
      </c>
      <c r="AJ231" s="67">
        <f t="shared" si="171"/>
        <v>0</v>
      </c>
      <c r="AK231" s="67"/>
      <c r="AL231" s="67"/>
      <c r="AM231" s="67"/>
      <c r="AN231" s="67">
        <f t="shared" si="172"/>
        <v>191334882.09999999</v>
      </c>
    </row>
    <row r="232" spans="2:40" outlineLevel="2" x14ac:dyDescent="0.25">
      <c r="B232" s="63" t="s">
        <v>312</v>
      </c>
      <c r="C232" s="64">
        <v>900978341</v>
      </c>
      <c r="D232" s="65" t="s">
        <v>315</v>
      </c>
      <c r="E232" s="66">
        <v>1</v>
      </c>
      <c r="F232" s="66">
        <v>0</v>
      </c>
      <c r="G232" s="66">
        <v>876389481</v>
      </c>
      <c r="H232" s="66">
        <f t="shared" si="160"/>
        <v>876389481</v>
      </c>
      <c r="I232" s="66">
        <v>0</v>
      </c>
      <c r="J232" s="66">
        <v>0</v>
      </c>
      <c r="K232" s="66">
        <v>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67">
        <f t="shared" si="159"/>
        <v>876389481</v>
      </c>
      <c r="S232" s="68">
        <f t="shared" si="163"/>
        <v>438194740.5</v>
      </c>
      <c r="T232" s="67">
        <f t="shared" si="163"/>
        <v>0</v>
      </c>
      <c r="U232" s="67">
        <f t="shared" si="164"/>
        <v>0</v>
      </c>
      <c r="V232" s="67">
        <f t="shared" si="165"/>
        <v>0</v>
      </c>
      <c r="W232" s="67">
        <f t="shared" si="166"/>
        <v>0</v>
      </c>
      <c r="X232" s="67">
        <f t="shared" si="167"/>
        <v>0</v>
      </c>
      <c r="Y232" s="67">
        <f t="shared" ref="Y232:Y233" si="173">(Q232-S232-T232-U232-V232-W232-X232)*50%</f>
        <v>219097370.25</v>
      </c>
      <c r="Z232" s="67">
        <f t="shared" si="168"/>
        <v>657292110.75</v>
      </c>
      <c r="AA232" s="62"/>
      <c r="AB232" s="67">
        <f t="shared" si="169"/>
        <v>438194740.5</v>
      </c>
      <c r="AC232" s="67">
        <f t="shared" si="169"/>
        <v>0</v>
      </c>
      <c r="AD232" s="67">
        <f t="shared" si="169"/>
        <v>0</v>
      </c>
      <c r="AE232" s="67">
        <f t="shared" si="169"/>
        <v>0</v>
      </c>
      <c r="AF232" s="67">
        <f t="shared" si="169"/>
        <v>0</v>
      </c>
      <c r="AG232" s="67">
        <f t="shared" si="169"/>
        <v>0</v>
      </c>
      <c r="AH232" s="67">
        <f t="shared" si="170"/>
        <v>73032456.75</v>
      </c>
      <c r="AI232" s="67">
        <f t="shared" si="171"/>
        <v>73032456.75</v>
      </c>
      <c r="AJ232" s="67">
        <f t="shared" si="171"/>
        <v>73032456.75</v>
      </c>
      <c r="AK232" s="67"/>
      <c r="AL232" s="67"/>
      <c r="AM232" s="67"/>
      <c r="AN232" s="67">
        <f t="shared" si="172"/>
        <v>657292110.75</v>
      </c>
    </row>
    <row r="233" spans="2:40" ht="12" outlineLevel="2" thickBot="1" x14ac:dyDescent="0.3">
      <c r="B233" s="63" t="s">
        <v>312</v>
      </c>
      <c r="C233" s="64">
        <v>901232414</v>
      </c>
      <c r="D233" s="65" t="s">
        <v>316</v>
      </c>
      <c r="E233" s="66">
        <v>0</v>
      </c>
      <c r="F233" s="66">
        <v>5896316</v>
      </c>
      <c r="G233" s="66">
        <v>0</v>
      </c>
      <c r="H233" s="66">
        <f t="shared" si="160"/>
        <v>5896316</v>
      </c>
      <c r="I233" s="66">
        <v>0</v>
      </c>
      <c r="J233" s="66">
        <v>0</v>
      </c>
      <c r="K233" s="66">
        <v>0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67">
        <f t="shared" si="159"/>
        <v>5896316</v>
      </c>
      <c r="S233" s="68">
        <f t="shared" si="163"/>
        <v>2948158</v>
      </c>
      <c r="T233" s="67">
        <f t="shared" si="163"/>
        <v>0</v>
      </c>
      <c r="U233" s="67">
        <f t="shared" si="164"/>
        <v>0</v>
      </c>
      <c r="V233" s="67">
        <f t="shared" si="165"/>
        <v>0</v>
      </c>
      <c r="W233" s="67">
        <f t="shared" si="166"/>
        <v>0</v>
      </c>
      <c r="X233" s="67">
        <f t="shared" si="167"/>
        <v>0</v>
      </c>
      <c r="Y233" s="67">
        <f t="shared" si="173"/>
        <v>1474079</v>
      </c>
      <c r="Z233" s="67">
        <f t="shared" si="168"/>
        <v>4422237</v>
      </c>
      <c r="AA233" s="62"/>
      <c r="AB233" s="67">
        <f t="shared" si="169"/>
        <v>2948158</v>
      </c>
      <c r="AC233" s="67">
        <f t="shared" si="169"/>
        <v>0</v>
      </c>
      <c r="AD233" s="67">
        <f t="shared" si="169"/>
        <v>0</v>
      </c>
      <c r="AE233" s="67">
        <f t="shared" si="169"/>
        <v>0</v>
      </c>
      <c r="AF233" s="67">
        <f t="shared" si="169"/>
        <v>0</v>
      </c>
      <c r="AG233" s="67">
        <f t="shared" si="169"/>
        <v>0</v>
      </c>
      <c r="AH233" s="67">
        <f t="shared" si="170"/>
        <v>491359.66666666669</v>
      </c>
      <c r="AI233" s="67">
        <f t="shared" si="171"/>
        <v>491359.66666666669</v>
      </c>
      <c r="AJ233" s="67">
        <f t="shared" si="171"/>
        <v>491359.66666666669</v>
      </c>
      <c r="AK233" s="67"/>
      <c r="AL233" s="67"/>
      <c r="AM233" s="67"/>
      <c r="AN233" s="67">
        <f t="shared" si="172"/>
        <v>4422237</v>
      </c>
    </row>
    <row r="234" spans="2:40" ht="12" outlineLevel="1" thickBot="1" x14ac:dyDescent="0.3">
      <c r="B234" s="75" t="s">
        <v>317</v>
      </c>
      <c r="C234" s="76"/>
      <c r="D234" s="76"/>
      <c r="E234" s="77">
        <f t="shared" ref="E234:Z234" si="174">SUBTOTAL(9,E230:E233)</f>
        <v>8</v>
      </c>
      <c r="F234" s="77">
        <f t="shared" si="174"/>
        <v>5896316</v>
      </c>
      <c r="G234" s="77">
        <f t="shared" si="174"/>
        <v>1179103057</v>
      </c>
      <c r="H234" s="77">
        <f t="shared" si="174"/>
        <v>1184999373</v>
      </c>
      <c r="I234" s="77">
        <f t="shared" si="174"/>
        <v>167412238</v>
      </c>
      <c r="J234" s="77">
        <f t="shared" si="174"/>
        <v>0</v>
      </c>
      <c r="K234" s="77">
        <f t="shared" si="174"/>
        <v>0</v>
      </c>
      <c r="L234" s="77">
        <f t="shared" si="174"/>
        <v>4831393</v>
      </c>
      <c r="M234" s="77">
        <f t="shared" si="174"/>
        <v>0</v>
      </c>
      <c r="N234" s="77">
        <f t="shared" si="174"/>
        <v>0</v>
      </c>
      <c r="O234" s="77">
        <f t="shared" si="174"/>
        <v>0</v>
      </c>
      <c r="P234" s="77">
        <f t="shared" si="174"/>
        <v>-470125814</v>
      </c>
      <c r="Q234" s="78">
        <f t="shared" si="174"/>
        <v>887117190</v>
      </c>
      <c r="S234" s="79">
        <f t="shared" si="174"/>
        <v>592499686.5</v>
      </c>
      <c r="T234" s="78">
        <f t="shared" si="174"/>
        <v>83706119</v>
      </c>
      <c r="U234" s="78">
        <f t="shared" si="174"/>
        <v>0</v>
      </c>
      <c r="V234" s="78">
        <f t="shared" si="174"/>
        <v>0</v>
      </c>
      <c r="W234" s="78">
        <f t="shared" si="174"/>
        <v>3381975.0999999996</v>
      </c>
      <c r="X234" s="78">
        <f t="shared" si="174"/>
        <v>0</v>
      </c>
      <c r="Y234" s="78">
        <f t="shared" si="174"/>
        <v>220571449.25</v>
      </c>
      <c r="Z234" s="78">
        <f t="shared" si="174"/>
        <v>900159229.85000002</v>
      </c>
      <c r="AA234" s="62"/>
      <c r="AB234" s="78">
        <f t="shared" ref="AB234:AN234" si="175">SUBTOTAL(9,AB230:AB233)</f>
        <v>592499686.5</v>
      </c>
      <c r="AC234" s="78">
        <f t="shared" si="175"/>
        <v>83706119</v>
      </c>
      <c r="AD234" s="78">
        <f t="shared" si="175"/>
        <v>0</v>
      </c>
      <c r="AE234" s="78">
        <f t="shared" si="175"/>
        <v>0</v>
      </c>
      <c r="AF234" s="78">
        <f t="shared" si="175"/>
        <v>3381975.0999999996</v>
      </c>
      <c r="AG234" s="78">
        <f t="shared" si="175"/>
        <v>0</v>
      </c>
      <c r="AH234" s="78">
        <f t="shared" si="175"/>
        <v>73523816.416666672</v>
      </c>
      <c r="AI234" s="78">
        <f t="shared" si="175"/>
        <v>73523816.416666672</v>
      </c>
      <c r="AJ234" s="78">
        <f t="shared" si="175"/>
        <v>73523816.416666672</v>
      </c>
      <c r="AK234" s="78">
        <f t="shared" si="175"/>
        <v>0</v>
      </c>
      <c r="AL234" s="78">
        <f t="shared" si="175"/>
        <v>0</v>
      </c>
      <c r="AM234" s="78">
        <f t="shared" si="175"/>
        <v>0</v>
      </c>
      <c r="AN234" s="78">
        <f t="shared" si="175"/>
        <v>900159229.85000002</v>
      </c>
    </row>
    <row r="235" spans="2:40" ht="12" outlineLevel="2" thickBot="1" x14ac:dyDescent="0.3">
      <c r="B235" s="63" t="s">
        <v>318</v>
      </c>
      <c r="C235" s="64">
        <v>999999999</v>
      </c>
      <c r="D235" s="65" t="s">
        <v>318</v>
      </c>
      <c r="E235" s="66">
        <v>2388</v>
      </c>
      <c r="F235" s="66">
        <v>248869253.93000001</v>
      </c>
      <c r="G235" s="66">
        <v>0</v>
      </c>
      <c r="H235" s="66">
        <f t="shared" si="160"/>
        <v>248869253.93000001</v>
      </c>
      <c r="I235" s="66">
        <v>65091300</v>
      </c>
      <c r="J235" s="66">
        <v>32684600</v>
      </c>
      <c r="K235" s="66">
        <v>19185900</v>
      </c>
      <c r="L235" s="66">
        <v>135927500</v>
      </c>
      <c r="M235" s="66">
        <v>204565200</v>
      </c>
      <c r="N235" s="66">
        <v>1797355633</v>
      </c>
      <c r="O235" s="66">
        <v>0</v>
      </c>
      <c r="P235" s="66">
        <v>-112000</v>
      </c>
      <c r="Q235" s="67">
        <f t="shared" si="159"/>
        <v>2503567386.9300003</v>
      </c>
      <c r="S235" s="68">
        <f>+H235*1%</f>
        <v>2488692.5393000003</v>
      </c>
      <c r="T235" s="68">
        <f t="shared" ref="T235:X235" si="176">+I235*1%</f>
        <v>650913</v>
      </c>
      <c r="U235" s="68">
        <f t="shared" si="176"/>
        <v>326846</v>
      </c>
      <c r="V235" s="68">
        <f t="shared" si="176"/>
        <v>191859</v>
      </c>
      <c r="W235" s="68">
        <f t="shared" si="176"/>
        <v>1359275</v>
      </c>
      <c r="X235" s="68">
        <f t="shared" si="176"/>
        <v>2045652</v>
      </c>
      <c r="Y235" s="67"/>
      <c r="Z235" s="67">
        <f t="shared" ref="Z235" si="177">+SUM(S235:Y235)</f>
        <v>7063237.5393000003</v>
      </c>
      <c r="AA235" s="62"/>
      <c r="AB235" s="67">
        <f>+S235</f>
        <v>2488692.5393000003</v>
      </c>
      <c r="AC235" s="67">
        <f>+T235</f>
        <v>650913</v>
      </c>
      <c r="AD235" s="67">
        <f>+U235</f>
        <v>326846</v>
      </c>
      <c r="AE235" s="67">
        <f>+V235</f>
        <v>191859</v>
      </c>
      <c r="AF235" s="67">
        <f t="shared" ref="AF235:AG235" si="178">+W235</f>
        <v>1359275</v>
      </c>
      <c r="AG235" s="67">
        <f t="shared" si="178"/>
        <v>2045652</v>
      </c>
      <c r="AH235" s="67">
        <f>+Y235/3</f>
        <v>0</v>
      </c>
      <c r="AI235" s="67">
        <f>+AH235</f>
        <v>0</v>
      </c>
      <c r="AJ235" s="67">
        <f>+AI235</f>
        <v>0</v>
      </c>
      <c r="AK235" s="67"/>
      <c r="AL235" s="67"/>
      <c r="AM235" s="67"/>
      <c r="AN235" s="67">
        <f>+SUM(AB235:AM235)</f>
        <v>7063237.5393000003</v>
      </c>
    </row>
    <row r="236" spans="2:40" ht="12" outlineLevel="1" thickBot="1" x14ac:dyDescent="0.3">
      <c r="B236" s="75" t="s">
        <v>319</v>
      </c>
      <c r="C236" s="76"/>
      <c r="D236" s="76"/>
      <c r="E236" s="77">
        <f t="shared" ref="E236:Z236" si="179">SUBTOTAL(9,E235:E235)</f>
        <v>2388</v>
      </c>
      <c r="F236" s="77">
        <f t="shared" si="179"/>
        <v>248869253.93000001</v>
      </c>
      <c r="G236" s="77">
        <f t="shared" si="179"/>
        <v>0</v>
      </c>
      <c r="H236" s="77">
        <f t="shared" si="179"/>
        <v>248869253.93000001</v>
      </c>
      <c r="I236" s="77">
        <f t="shared" si="179"/>
        <v>65091300</v>
      </c>
      <c r="J236" s="77">
        <f t="shared" si="179"/>
        <v>32684600</v>
      </c>
      <c r="K236" s="77">
        <f t="shared" si="179"/>
        <v>19185900</v>
      </c>
      <c r="L236" s="77">
        <f t="shared" si="179"/>
        <v>135927500</v>
      </c>
      <c r="M236" s="77">
        <f t="shared" si="179"/>
        <v>204565200</v>
      </c>
      <c r="N236" s="77">
        <f t="shared" si="179"/>
        <v>1797355633</v>
      </c>
      <c r="O236" s="77">
        <f t="shared" si="179"/>
        <v>0</v>
      </c>
      <c r="P236" s="77">
        <f t="shared" si="179"/>
        <v>-112000</v>
      </c>
      <c r="Q236" s="78">
        <f t="shared" si="179"/>
        <v>2503567386.9300003</v>
      </c>
      <c r="S236" s="79">
        <f t="shared" si="179"/>
        <v>2488692.5393000003</v>
      </c>
      <c r="T236" s="78">
        <f t="shared" si="179"/>
        <v>650913</v>
      </c>
      <c r="U236" s="78">
        <f t="shared" si="179"/>
        <v>326846</v>
      </c>
      <c r="V236" s="78">
        <f t="shared" si="179"/>
        <v>191859</v>
      </c>
      <c r="W236" s="78">
        <f t="shared" si="179"/>
        <v>1359275</v>
      </c>
      <c r="X236" s="78">
        <f t="shared" si="179"/>
        <v>2045652</v>
      </c>
      <c r="Y236" s="78">
        <f t="shared" si="179"/>
        <v>0</v>
      </c>
      <c r="Z236" s="78">
        <f t="shared" si="179"/>
        <v>7063237.5393000003</v>
      </c>
      <c r="AA236" s="62"/>
      <c r="AB236" s="78">
        <f t="shared" ref="AB236:AN236" si="180">SUBTOTAL(9,AB235:AB235)</f>
        <v>2488692.5393000003</v>
      </c>
      <c r="AC236" s="78">
        <f t="shared" si="180"/>
        <v>650913</v>
      </c>
      <c r="AD236" s="78">
        <f t="shared" si="180"/>
        <v>326846</v>
      </c>
      <c r="AE236" s="78">
        <f t="shared" si="180"/>
        <v>191859</v>
      </c>
      <c r="AF236" s="78">
        <f t="shared" si="180"/>
        <v>1359275</v>
      </c>
      <c r="AG236" s="78">
        <f t="shared" si="180"/>
        <v>2045652</v>
      </c>
      <c r="AH236" s="78">
        <f t="shared" si="180"/>
        <v>0</v>
      </c>
      <c r="AI236" s="78">
        <f t="shared" si="180"/>
        <v>0</v>
      </c>
      <c r="AJ236" s="78">
        <f t="shared" si="180"/>
        <v>0</v>
      </c>
      <c r="AK236" s="78">
        <f t="shared" si="180"/>
        <v>0</v>
      </c>
      <c r="AL236" s="78">
        <f t="shared" si="180"/>
        <v>0</v>
      </c>
      <c r="AM236" s="78">
        <f t="shared" si="180"/>
        <v>0</v>
      </c>
      <c r="AN236" s="78">
        <f t="shared" si="180"/>
        <v>7063237.5393000003</v>
      </c>
    </row>
    <row r="237" spans="2:40" outlineLevel="2" x14ac:dyDescent="0.25">
      <c r="B237" s="63" t="s">
        <v>320</v>
      </c>
      <c r="C237" s="64">
        <v>860002183</v>
      </c>
      <c r="D237" s="65" t="s">
        <v>112</v>
      </c>
      <c r="E237" s="66">
        <v>3</v>
      </c>
      <c r="F237" s="66">
        <v>196198.99</v>
      </c>
      <c r="G237" s="66">
        <v>0</v>
      </c>
      <c r="H237" s="66">
        <f t="shared" si="160"/>
        <v>196198.99</v>
      </c>
      <c r="I237" s="66">
        <v>0</v>
      </c>
      <c r="J237" s="66">
        <v>0</v>
      </c>
      <c r="K237" s="66">
        <v>0</v>
      </c>
      <c r="L237" s="66">
        <v>0</v>
      </c>
      <c r="M237" s="66">
        <v>2113167</v>
      </c>
      <c r="N237" s="66">
        <v>2517819.2999999998</v>
      </c>
      <c r="O237" s="66">
        <v>0</v>
      </c>
      <c r="P237" s="66">
        <v>0</v>
      </c>
      <c r="Q237" s="67">
        <f t="shared" si="159"/>
        <v>4827185.29</v>
      </c>
      <c r="S237" s="68">
        <f t="shared" ref="S237:T246" si="181">+H237*50%</f>
        <v>98099.494999999995</v>
      </c>
      <c r="T237" s="67">
        <f t="shared" si="181"/>
        <v>0</v>
      </c>
      <c r="U237" s="67">
        <f t="shared" ref="U237:U246" si="182">+J237*60%</f>
        <v>0</v>
      </c>
      <c r="V237" s="67">
        <f t="shared" ref="V237:V246" si="183">+K237*70%</f>
        <v>0</v>
      </c>
      <c r="W237" s="67">
        <f t="shared" ref="W237:W246" si="184">+L237*0.7</f>
        <v>0</v>
      </c>
      <c r="X237" s="67">
        <f t="shared" ref="X237:X246" si="185">+M237*0.75</f>
        <v>1584875.25</v>
      </c>
      <c r="Y237" s="67">
        <f t="shared" ref="Y237:Y246" si="186">(Q237-S237-T237-U237-V237-W237-X237)*50%</f>
        <v>1572105.2725</v>
      </c>
      <c r="Z237" s="67">
        <f t="shared" ref="Z237:Z246" si="187">+SUM(S237:Y237)</f>
        <v>3255080.0175000001</v>
      </c>
      <c r="AA237" s="62"/>
      <c r="AB237" s="67">
        <f t="shared" ref="AB237:AG246" si="188">+S237</f>
        <v>98099.494999999995</v>
      </c>
      <c r="AC237" s="67">
        <f t="shared" si="188"/>
        <v>0</v>
      </c>
      <c r="AD237" s="67">
        <f t="shared" si="188"/>
        <v>0</v>
      </c>
      <c r="AE237" s="67">
        <f t="shared" si="188"/>
        <v>0</v>
      </c>
      <c r="AF237" s="67">
        <f t="shared" si="188"/>
        <v>0</v>
      </c>
      <c r="AG237" s="67">
        <f t="shared" si="188"/>
        <v>1584875.25</v>
      </c>
      <c r="AH237" s="67">
        <f t="shared" ref="AH237:AH246" si="189">+Y237/3</f>
        <v>524035.09083333332</v>
      </c>
      <c r="AI237" s="67">
        <f t="shared" ref="AI237:AJ246" si="190">+AH237</f>
        <v>524035.09083333332</v>
      </c>
      <c r="AJ237" s="67">
        <f t="shared" si="190"/>
        <v>524035.09083333332</v>
      </c>
      <c r="AK237" s="67"/>
      <c r="AL237" s="67"/>
      <c r="AM237" s="67"/>
      <c r="AN237" s="67">
        <f t="shared" ref="AN237:AN246" si="191">+SUM(AB237:AM237)</f>
        <v>3255080.0175000001</v>
      </c>
    </row>
    <row r="238" spans="2:40" outlineLevel="2" x14ac:dyDescent="0.25">
      <c r="B238" s="63" t="s">
        <v>320</v>
      </c>
      <c r="C238" s="64">
        <v>860002503</v>
      </c>
      <c r="D238" s="65" t="s">
        <v>100</v>
      </c>
      <c r="E238" s="66">
        <v>2</v>
      </c>
      <c r="F238" s="66">
        <v>0</v>
      </c>
      <c r="G238" s="66">
        <v>0</v>
      </c>
      <c r="H238" s="66">
        <f t="shared" si="160"/>
        <v>0</v>
      </c>
      <c r="I238" s="66">
        <v>0</v>
      </c>
      <c r="J238" s="66">
        <v>0</v>
      </c>
      <c r="K238" s="66">
        <v>0</v>
      </c>
      <c r="L238" s="66">
        <v>0</v>
      </c>
      <c r="M238" s="66">
        <v>0</v>
      </c>
      <c r="N238" s="66">
        <v>1432642</v>
      </c>
      <c r="O238" s="66">
        <v>0</v>
      </c>
      <c r="P238" s="66">
        <v>0</v>
      </c>
      <c r="Q238" s="67">
        <f t="shared" si="159"/>
        <v>1432642</v>
      </c>
      <c r="S238" s="68">
        <f t="shared" si="181"/>
        <v>0</v>
      </c>
      <c r="T238" s="67">
        <f t="shared" si="181"/>
        <v>0</v>
      </c>
      <c r="U238" s="67">
        <f t="shared" si="182"/>
        <v>0</v>
      </c>
      <c r="V238" s="67">
        <f t="shared" si="183"/>
        <v>0</v>
      </c>
      <c r="W238" s="67">
        <f t="shared" si="184"/>
        <v>0</v>
      </c>
      <c r="X238" s="67">
        <f t="shared" si="185"/>
        <v>0</v>
      </c>
      <c r="Y238" s="67">
        <f t="shared" si="186"/>
        <v>716321</v>
      </c>
      <c r="Z238" s="67">
        <f t="shared" si="187"/>
        <v>716321</v>
      </c>
      <c r="AA238" s="62"/>
      <c r="AB238" s="67">
        <f t="shared" si="188"/>
        <v>0</v>
      </c>
      <c r="AC238" s="67">
        <f t="shared" si="188"/>
        <v>0</v>
      </c>
      <c r="AD238" s="67">
        <f t="shared" si="188"/>
        <v>0</v>
      </c>
      <c r="AE238" s="67">
        <f t="shared" si="188"/>
        <v>0</v>
      </c>
      <c r="AF238" s="67">
        <f t="shared" si="188"/>
        <v>0</v>
      </c>
      <c r="AG238" s="67">
        <f t="shared" si="188"/>
        <v>0</v>
      </c>
      <c r="AH238" s="67">
        <f t="shared" si="189"/>
        <v>238773.66666666666</v>
      </c>
      <c r="AI238" s="67">
        <f t="shared" si="190"/>
        <v>238773.66666666666</v>
      </c>
      <c r="AJ238" s="67">
        <f t="shared" si="190"/>
        <v>238773.66666666666</v>
      </c>
      <c r="AK238" s="67"/>
      <c r="AL238" s="67"/>
      <c r="AM238" s="67"/>
      <c r="AN238" s="67">
        <f t="shared" si="191"/>
        <v>716321</v>
      </c>
    </row>
    <row r="239" spans="2:40" outlineLevel="2" x14ac:dyDescent="0.25">
      <c r="B239" s="63" t="s">
        <v>320</v>
      </c>
      <c r="C239" s="64">
        <v>860008645</v>
      </c>
      <c r="D239" s="65" t="s">
        <v>113</v>
      </c>
      <c r="E239" s="66">
        <v>1</v>
      </c>
      <c r="F239" s="66">
        <v>0</v>
      </c>
      <c r="G239" s="66">
        <v>0</v>
      </c>
      <c r="H239" s="66">
        <f t="shared" si="160"/>
        <v>0</v>
      </c>
      <c r="I239" s="66">
        <v>0</v>
      </c>
      <c r="J239" s="66">
        <v>0</v>
      </c>
      <c r="K239" s="66">
        <v>0</v>
      </c>
      <c r="L239" s="66">
        <v>0</v>
      </c>
      <c r="M239" s="66">
        <v>0</v>
      </c>
      <c r="N239" s="66">
        <v>49400</v>
      </c>
      <c r="O239" s="66">
        <v>0</v>
      </c>
      <c r="P239" s="66">
        <v>0</v>
      </c>
      <c r="Q239" s="67">
        <f t="shared" si="159"/>
        <v>49400</v>
      </c>
      <c r="S239" s="68">
        <f t="shared" si="181"/>
        <v>0</v>
      </c>
      <c r="T239" s="67">
        <f t="shared" si="181"/>
        <v>0</v>
      </c>
      <c r="U239" s="67">
        <f t="shared" si="182"/>
        <v>0</v>
      </c>
      <c r="V239" s="67">
        <f t="shared" si="183"/>
        <v>0</v>
      </c>
      <c r="W239" s="67">
        <f t="shared" si="184"/>
        <v>0</v>
      </c>
      <c r="X239" s="67">
        <f t="shared" si="185"/>
        <v>0</v>
      </c>
      <c r="Y239" s="67">
        <f t="shared" si="186"/>
        <v>24700</v>
      </c>
      <c r="Z239" s="67">
        <f t="shared" si="187"/>
        <v>24700</v>
      </c>
      <c r="AA239" s="62"/>
      <c r="AB239" s="67">
        <f t="shared" si="188"/>
        <v>0</v>
      </c>
      <c r="AC239" s="67">
        <f t="shared" si="188"/>
        <v>0</v>
      </c>
      <c r="AD239" s="67">
        <f t="shared" si="188"/>
        <v>0</v>
      </c>
      <c r="AE239" s="67">
        <f t="shared" si="188"/>
        <v>0</v>
      </c>
      <c r="AF239" s="67">
        <f t="shared" si="188"/>
        <v>0</v>
      </c>
      <c r="AG239" s="67">
        <f t="shared" si="188"/>
        <v>0</v>
      </c>
      <c r="AH239" s="67">
        <f t="shared" si="189"/>
        <v>8233.3333333333339</v>
      </c>
      <c r="AI239" s="67">
        <f t="shared" si="190"/>
        <v>8233.3333333333339</v>
      </c>
      <c r="AJ239" s="67">
        <f t="shared" si="190"/>
        <v>8233.3333333333339</v>
      </c>
      <c r="AK239" s="67"/>
      <c r="AL239" s="67"/>
      <c r="AM239" s="67"/>
      <c r="AN239" s="67">
        <f t="shared" si="191"/>
        <v>24700</v>
      </c>
    </row>
    <row r="240" spans="2:40" outlineLevel="2" x14ac:dyDescent="0.25">
      <c r="B240" s="63" t="s">
        <v>320</v>
      </c>
      <c r="C240" s="64">
        <v>860009174</v>
      </c>
      <c r="D240" s="65" t="s">
        <v>114</v>
      </c>
      <c r="E240" s="66">
        <v>47</v>
      </c>
      <c r="F240" s="66">
        <v>67000</v>
      </c>
      <c r="G240" s="66">
        <v>1444094</v>
      </c>
      <c r="H240" s="66">
        <f t="shared" si="160"/>
        <v>1511094</v>
      </c>
      <c r="I240" s="66">
        <v>3310105</v>
      </c>
      <c r="J240" s="66">
        <v>5807266</v>
      </c>
      <c r="K240" s="66">
        <v>1287649</v>
      </c>
      <c r="L240" s="66">
        <v>3584359</v>
      </c>
      <c r="M240" s="66">
        <v>5672100</v>
      </c>
      <c r="N240" s="66">
        <v>67000</v>
      </c>
      <c r="O240" s="66">
        <v>0</v>
      </c>
      <c r="P240" s="66">
        <v>0</v>
      </c>
      <c r="Q240" s="67">
        <f t="shared" si="159"/>
        <v>21239573</v>
      </c>
      <c r="S240" s="68">
        <f t="shared" si="181"/>
        <v>755547</v>
      </c>
      <c r="T240" s="67">
        <f t="shared" si="181"/>
        <v>1655052.5</v>
      </c>
      <c r="U240" s="67">
        <f t="shared" si="182"/>
        <v>3484359.6</v>
      </c>
      <c r="V240" s="67">
        <f t="shared" si="183"/>
        <v>901354.29999999993</v>
      </c>
      <c r="W240" s="67">
        <f t="shared" si="184"/>
        <v>2509051.2999999998</v>
      </c>
      <c r="X240" s="67">
        <f t="shared" si="185"/>
        <v>4254075</v>
      </c>
      <c r="Y240" s="67">
        <f t="shared" si="186"/>
        <v>3840066.6500000004</v>
      </c>
      <c r="Z240" s="67">
        <f t="shared" si="187"/>
        <v>17399506.350000001</v>
      </c>
      <c r="AA240" s="62"/>
      <c r="AB240" s="67">
        <f t="shared" si="188"/>
        <v>755547</v>
      </c>
      <c r="AC240" s="67">
        <f t="shared" si="188"/>
        <v>1655052.5</v>
      </c>
      <c r="AD240" s="67">
        <f t="shared" si="188"/>
        <v>3484359.6</v>
      </c>
      <c r="AE240" s="67">
        <f t="shared" si="188"/>
        <v>901354.29999999993</v>
      </c>
      <c r="AF240" s="67">
        <f t="shared" si="188"/>
        <v>2509051.2999999998</v>
      </c>
      <c r="AG240" s="67">
        <f t="shared" si="188"/>
        <v>4254075</v>
      </c>
      <c r="AH240" s="67">
        <f t="shared" si="189"/>
        <v>1280022.2166666668</v>
      </c>
      <c r="AI240" s="67">
        <f t="shared" si="190"/>
        <v>1280022.2166666668</v>
      </c>
      <c r="AJ240" s="67">
        <f t="shared" si="190"/>
        <v>1280022.2166666668</v>
      </c>
      <c r="AK240" s="67"/>
      <c r="AL240" s="67"/>
      <c r="AM240" s="67"/>
      <c r="AN240" s="67">
        <f t="shared" si="191"/>
        <v>17399506.350000001</v>
      </c>
    </row>
    <row r="241" spans="2:40" outlineLevel="2" x14ac:dyDescent="0.25">
      <c r="B241" s="63" t="s">
        <v>320</v>
      </c>
      <c r="C241" s="64">
        <v>860009578</v>
      </c>
      <c r="D241" s="65" t="s">
        <v>101</v>
      </c>
      <c r="E241" s="66">
        <v>18</v>
      </c>
      <c r="F241" s="66">
        <v>0</v>
      </c>
      <c r="G241" s="66">
        <v>0</v>
      </c>
      <c r="H241" s="66">
        <f t="shared" si="160"/>
        <v>0</v>
      </c>
      <c r="I241" s="66">
        <v>0</v>
      </c>
      <c r="J241" s="66">
        <v>0</v>
      </c>
      <c r="K241" s="66">
        <v>0</v>
      </c>
      <c r="L241" s="66">
        <v>0</v>
      </c>
      <c r="M241" s="66">
        <v>0</v>
      </c>
      <c r="N241" s="66">
        <v>12518053</v>
      </c>
      <c r="O241" s="66">
        <v>0</v>
      </c>
      <c r="P241" s="66">
        <v>0</v>
      </c>
      <c r="Q241" s="67">
        <f t="shared" si="159"/>
        <v>12518053</v>
      </c>
      <c r="S241" s="68">
        <f t="shared" si="181"/>
        <v>0</v>
      </c>
      <c r="T241" s="67">
        <f t="shared" si="181"/>
        <v>0</v>
      </c>
      <c r="U241" s="67">
        <f t="shared" si="182"/>
        <v>0</v>
      </c>
      <c r="V241" s="67">
        <f t="shared" si="183"/>
        <v>0</v>
      </c>
      <c r="W241" s="67">
        <f t="shared" si="184"/>
        <v>0</v>
      </c>
      <c r="X241" s="67">
        <f t="shared" si="185"/>
        <v>0</v>
      </c>
      <c r="Y241" s="67">
        <f t="shared" si="186"/>
        <v>6259026.5</v>
      </c>
      <c r="Z241" s="67">
        <f t="shared" si="187"/>
        <v>6259026.5</v>
      </c>
      <c r="AA241" s="62"/>
      <c r="AB241" s="67">
        <f t="shared" si="188"/>
        <v>0</v>
      </c>
      <c r="AC241" s="67">
        <f t="shared" si="188"/>
        <v>0</v>
      </c>
      <c r="AD241" s="67">
        <f t="shared" si="188"/>
        <v>0</v>
      </c>
      <c r="AE241" s="67">
        <f t="shared" si="188"/>
        <v>0</v>
      </c>
      <c r="AF241" s="67">
        <f t="shared" si="188"/>
        <v>0</v>
      </c>
      <c r="AG241" s="67">
        <f t="shared" si="188"/>
        <v>0</v>
      </c>
      <c r="AH241" s="67">
        <f t="shared" si="189"/>
        <v>2086342.1666666667</v>
      </c>
      <c r="AI241" s="67">
        <f t="shared" si="190"/>
        <v>2086342.1666666667</v>
      </c>
      <c r="AJ241" s="67">
        <f t="shared" si="190"/>
        <v>2086342.1666666667</v>
      </c>
      <c r="AK241" s="67"/>
      <c r="AL241" s="67"/>
      <c r="AM241" s="67"/>
      <c r="AN241" s="67">
        <f t="shared" si="191"/>
        <v>6259026.5</v>
      </c>
    </row>
    <row r="242" spans="2:40" outlineLevel="2" x14ac:dyDescent="0.25">
      <c r="B242" s="63" t="s">
        <v>320</v>
      </c>
      <c r="C242" s="64">
        <v>860011153</v>
      </c>
      <c r="D242" s="65" t="s">
        <v>115</v>
      </c>
      <c r="E242" s="66">
        <v>1</v>
      </c>
      <c r="F242" s="66">
        <v>0</v>
      </c>
      <c r="G242" s="66">
        <v>0</v>
      </c>
      <c r="H242" s="66">
        <f t="shared" si="160"/>
        <v>0</v>
      </c>
      <c r="I242" s="66">
        <v>0</v>
      </c>
      <c r="J242" s="66">
        <v>0</v>
      </c>
      <c r="K242" s="66">
        <v>0</v>
      </c>
      <c r="L242" s="66">
        <v>0</v>
      </c>
      <c r="M242" s="66">
        <v>0</v>
      </c>
      <c r="N242" s="66">
        <v>6499837</v>
      </c>
      <c r="O242" s="66">
        <v>0</v>
      </c>
      <c r="P242" s="66">
        <v>0</v>
      </c>
      <c r="Q242" s="67">
        <f t="shared" si="159"/>
        <v>6499837</v>
      </c>
      <c r="S242" s="68">
        <f t="shared" si="181"/>
        <v>0</v>
      </c>
      <c r="T242" s="67">
        <f t="shared" si="181"/>
        <v>0</v>
      </c>
      <c r="U242" s="67">
        <f t="shared" si="182"/>
        <v>0</v>
      </c>
      <c r="V242" s="67">
        <f t="shared" si="183"/>
        <v>0</v>
      </c>
      <c r="W242" s="67">
        <f t="shared" si="184"/>
        <v>0</v>
      </c>
      <c r="X242" s="67">
        <f t="shared" si="185"/>
        <v>0</v>
      </c>
      <c r="Y242" s="67">
        <f t="shared" si="186"/>
        <v>3249918.5</v>
      </c>
      <c r="Z242" s="67">
        <f t="shared" si="187"/>
        <v>3249918.5</v>
      </c>
      <c r="AA242" s="62"/>
      <c r="AB242" s="67">
        <f t="shared" si="188"/>
        <v>0</v>
      </c>
      <c r="AC242" s="67">
        <f t="shared" si="188"/>
        <v>0</v>
      </c>
      <c r="AD242" s="67">
        <f t="shared" si="188"/>
        <v>0</v>
      </c>
      <c r="AE242" s="67">
        <f t="shared" si="188"/>
        <v>0</v>
      </c>
      <c r="AF242" s="67">
        <f t="shared" si="188"/>
        <v>0</v>
      </c>
      <c r="AG242" s="67">
        <f t="shared" si="188"/>
        <v>0</v>
      </c>
      <c r="AH242" s="67">
        <f t="shared" si="189"/>
        <v>1083306.1666666667</v>
      </c>
      <c r="AI242" s="67">
        <f t="shared" si="190"/>
        <v>1083306.1666666667</v>
      </c>
      <c r="AJ242" s="67">
        <f t="shared" si="190"/>
        <v>1083306.1666666667</v>
      </c>
      <c r="AK242" s="67"/>
      <c r="AL242" s="67"/>
      <c r="AM242" s="67"/>
      <c r="AN242" s="67">
        <f t="shared" si="191"/>
        <v>3249918.5</v>
      </c>
    </row>
    <row r="243" spans="2:40" outlineLevel="2" x14ac:dyDescent="0.25">
      <c r="B243" s="63" t="s">
        <v>320</v>
      </c>
      <c r="C243" s="64">
        <v>860026182</v>
      </c>
      <c r="D243" s="65" t="s">
        <v>321</v>
      </c>
      <c r="E243" s="66">
        <v>1</v>
      </c>
      <c r="F243" s="66">
        <v>0</v>
      </c>
      <c r="G243" s="66">
        <v>0</v>
      </c>
      <c r="H243" s="66">
        <f t="shared" si="160"/>
        <v>0</v>
      </c>
      <c r="I243" s="66">
        <v>0</v>
      </c>
      <c r="J243" s="66">
        <v>0</v>
      </c>
      <c r="K243" s="66">
        <v>0</v>
      </c>
      <c r="L243" s="66">
        <v>0</v>
      </c>
      <c r="M243" s="66">
        <v>0</v>
      </c>
      <c r="N243" s="66">
        <v>3582000</v>
      </c>
      <c r="O243" s="66">
        <v>0</v>
      </c>
      <c r="P243" s="66">
        <v>0</v>
      </c>
      <c r="Q243" s="67">
        <f t="shared" si="159"/>
        <v>3582000</v>
      </c>
      <c r="S243" s="68">
        <f t="shared" si="181"/>
        <v>0</v>
      </c>
      <c r="T243" s="67">
        <f t="shared" si="181"/>
        <v>0</v>
      </c>
      <c r="U243" s="67">
        <f t="shared" si="182"/>
        <v>0</v>
      </c>
      <c r="V243" s="67">
        <f t="shared" si="183"/>
        <v>0</v>
      </c>
      <c r="W243" s="67">
        <f t="shared" si="184"/>
        <v>0</v>
      </c>
      <c r="X243" s="67">
        <f t="shared" si="185"/>
        <v>0</v>
      </c>
      <c r="Y243" s="67">
        <f t="shared" si="186"/>
        <v>1791000</v>
      </c>
      <c r="Z243" s="67">
        <f t="shared" si="187"/>
        <v>1791000</v>
      </c>
      <c r="AA243" s="62"/>
      <c r="AB243" s="67">
        <f t="shared" si="188"/>
        <v>0</v>
      </c>
      <c r="AC243" s="67">
        <f t="shared" si="188"/>
        <v>0</v>
      </c>
      <c r="AD243" s="67">
        <f t="shared" si="188"/>
        <v>0</v>
      </c>
      <c r="AE243" s="67">
        <f t="shared" si="188"/>
        <v>0</v>
      </c>
      <c r="AF243" s="67">
        <f t="shared" si="188"/>
        <v>0</v>
      </c>
      <c r="AG243" s="67">
        <f t="shared" si="188"/>
        <v>0</v>
      </c>
      <c r="AH243" s="67">
        <f t="shared" si="189"/>
        <v>597000</v>
      </c>
      <c r="AI243" s="67">
        <f t="shared" si="190"/>
        <v>597000</v>
      </c>
      <c r="AJ243" s="67">
        <f t="shared" si="190"/>
        <v>597000</v>
      </c>
      <c r="AK243" s="67"/>
      <c r="AL243" s="67"/>
      <c r="AM243" s="67"/>
      <c r="AN243" s="67">
        <f t="shared" si="191"/>
        <v>1791000</v>
      </c>
    </row>
    <row r="244" spans="2:40" outlineLevel="2" x14ac:dyDescent="0.25">
      <c r="B244" s="63" t="s">
        <v>320</v>
      </c>
      <c r="C244" s="64">
        <v>860037013</v>
      </c>
      <c r="D244" s="65" t="s">
        <v>103</v>
      </c>
      <c r="E244" s="66">
        <v>1</v>
      </c>
      <c r="F244" s="66">
        <v>4453511</v>
      </c>
      <c r="G244" s="66">
        <v>75000</v>
      </c>
      <c r="H244" s="66">
        <f t="shared" si="160"/>
        <v>4528511</v>
      </c>
      <c r="I244" s="66">
        <v>0</v>
      </c>
      <c r="J244" s="66">
        <v>0</v>
      </c>
      <c r="K244" s="66">
        <v>0</v>
      </c>
      <c r="L244" s="66">
        <v>0</v>
      </c>
      <c r="M244" s="66">
        <v>0</v>
      </c>
      <c r="N244" s="66">
        <v>0</v>
      </c>
      <c r="O244" s="66">
        <v>0</v>
      </c>
      <c r="P244" s="66">
        <v>0</v>
      </c>
      <c r="Q244" s="67">
        <f t="shared" si="159"/>
        <v>4528511</v>
      </c>
      <c r="S244" s="68">
        <f t="shared" si="181"/>
        <v>2264255.5</v>
      </c>
      <c r="T244" s="67">
        <f t="shared" si="181"/>
        <v>0</v>
      </c>
      <c r="U244" s="67">
        <f t="shared" si="182"/>
        <v>0</v>
      </c>
      <c r="V244" s="67">
        <f t="shared" si="183"/>
        <v>0</v>
      </c>
      <c r="W244" s="67">
        <f t="shared" si="184"/>
        <v>0</v>
      </c>
      <c r="X244" s="67">
        <f t="shared" si="185"/>
        <v>0</v>
      </c>
      <c r="Y244" s="67">
        <f t="shared" si="186"/>
        <v>1132127.75</v>
      </c>
      <c r="Z244" s="67">
        <f t="shared" si="187"/>
        <v>3396383.25</v>
      </c>
      <c r="AA244" s="62"/>
      <c r="AB244" s="67">
        <f t="shared" si="188"/>
        <v>2264255.5</v>
      </c>
      <c r="AC244" s="67">
        <f t="shared" si="188"/>
        <v>0</v>
      </c>
      <c r="AD244" s="67">
        <f t="shared" si="188"/>
        <v>0</v>
      </c>
      <c r="AE244" s="67">
        <f t="shared" si="188"/>
        <v>0</v>
      </c>
      <c r="AF244" s="67">
        <f t="shared" si="188"/>
        <v>0</v>
      </c>
      <c r="AG244" s="67">
        <f t="shared" si="188"/>
        <v>0</v>
      </c>
      <c r="AH244" s="67">
        <f t="shared" si="189"/>
        <v>377375.91666666669</v>
      </c>
      <c r="AI244" s="67">
        <f t="shared" si="190"/>
        <v>377375.91666666669</v>
      </c>
      <c r="AJ244" s="67">
        <f t="shared" si="190"/>
        <v>377375.91666666669</v>
      </c>
      <c r="AK244" s="67"/>
      <c r="AL244" s="67"/>
      <c r="AM244" s="67"/>
      <c r="AN244" s="67">
        <f t="shared" si="191"/>
        <v>3396383.2499999995</v>
      </c>
    </row>
    <row r="245" spans="2:40" outlineLevel="2" x14ac:dyDescent="0.25">
      <c r="B245" s="63" t="s">
        <v>320</v>
      </c>
      <c r="C245" s="64">
        <v>860524654</v>
      </c>
      <c r="D245" s="65" t="s">
        <v>105</v>
      </c>
      <c r="E245" s="66">
        <v>12</v>
      </c>
      <c r="F245" s="66">
        <v>0</v>
      </c>
      <c r="G245" s="66">
        <v>69700</v>
      </c>
      <c r="H245" s="66">
        <f t="shared" si="160"/>
        <v>69700</v>
      </c>
      <c r="I245" s="66">
        <v>994876</v>
      </c>
      <c r="J245" s="66">
        <v>1908400</v>
      </c>
      <c r="K245" s="66">
        <v>266300</v>
      </c>
      <c r="L245" s="66">
        <v>818350</v>
      </c>
      <c r="M245" s="66">
        <v>1738767</v>
      </c>
      <c r="N245" s="66">
        <v>779912</v>
      </c>
      <c r="O245" s="66">
        <v>0</v>
      </c>
      <c r="P245" s="66">
        <v>0</v>
      </c>
      <c r="Q245" s="67">
        <f t="shared" si="159"/>
        <v>6576305</v>
      </c>
      <c r="S245" s="68">
        <f t="shared" si="181"/>
        <v>34850</v>
      </c>
      <c r="T245" s="67">
        <f t="shared" si="181"/>
        <v>497438</v>
      </c>
      <c r="U245" s="67">
        <f t="shared" si="182"/>
        <v>1145040</v>
      </c>
      <c r="V245" s="67">
        <f t="shared" si="183"/>
        <v>186410</v>
      </c>
      <c r="W245" s="67">
        <f t="shared" si="184"/>
        <v>572845</v>
      </c>
      <c r="X245" s="67">
        <f t="shared" si="185"/>
        <v>1304075.25</v>
      </c>
      <c r="Y245" s="67">
        <f t="shared" si="186"/>
        <v>1417823.375</v>
      </c>
      <c r="Z245" s="67">
        <f t="shared" si="187"/>
        <v>5158481.625</v>
      </c>
      <c r="AA245" s="62"/>
      <c r="AB245" s="67">
        <f t="shared" si="188"/>
        <v>34850</v>
      </c>
      <c r="AC245" s="67">
        <f t="shared" si="188"/>
        <v>497438</v>
      </c>
      <c r="AD245" s="67">
        <f t="shared" si="188"/>
        <v>1145040</v>
      </c>
      <c r="AE245" s="67">
        <f t="shared" si="188"/>
        <v>186410</v>
      </c>
      <c r="AF245" s="67">
        <f t="shared" si="188"/>
        <v>572845</v>
      </c>
      <c r="AG245" s="67">
        <f t="shared" si="188"/>
        <v>1304075.25</v>
      </c>
      <c r="AH245" s="67">
        <f t="shared" si="189"/>
        <v>472607.79166666669</v>
      </c>
      <c r="AI245" s="67">
        <f t="shared" si="190"/>
        <v>472607.79166666669</v>
      </c>
      <c r="AJ245" s="67">
        <f t="shared" si="190"/>
        <v>472607.79166666669</v>
      </c>
      <c r="AK245" s="67"/>
      <c r="AL245" s="67"/>
      <c r="AM245" s="67"/>
      <c r="AN245" s="67">
        <f t="shared" si="191"/>
        <v>5158481.6250000009</v>
      </c>
    </row>
    <row r="246" spans="2:40" ht="12" outlineLevel="2" thickBot="1" x14ac:dyDescent="0.3">
      <c r="B246" s="63" t="s">
        <v>320</v>
      </c>
      <c r="C246" s="64">
        <v>890903407</v>
      </c>
      <c r="D246" s="65" t="s">
        <v>106</v>
      </c>
      <c r="E246" s="66">
        <v>1</v>
      </c>
      <c r="F246" s="66">
        <v>0</v>
      </c>
      <c r="G246" s="66">
        <v>0</v>
      </c>
      <c r="H246" s="66">
        <f t="shared" si="160"/>
        <v>0</v>
      </c>
      <c r="I246" s="66">
        <v>0</v>
      </c>
      <c r="J246" s="66">
        <v>0</v>
      </c>
      <c r="K246" s="66">
        <v>0</v>
      </c>
      <c r="L246" s="66">
        <v>0</v>
      </c>
      <c r="M246" s="66">
        <v>0</v>
      </c>
      <c r="N246" s="66">
        <v>6396891</v>
      </c>
      <c r="O246" s="66">
        <v>0</v>
      </c>
      <c r="P246" s="66">
        <v>0</v>
      </c>
      <c r="Q246" s="67">
        <f t="shared" si="159"/>
        <v>6396891</v>
      </c>
      <c r="S246" s="68">
        <f t="shared" si="181"/>
        <v>0</v>
      </c>
      <c r="T246" s="67">
        <f t="shared" si="181"/>
        <v>0</v>
      </c>
      <c r="U246" s="67">
        <f t="shared" si="182"/>
        <v>0</v>
      </c>
      <c r="V246" s="67">
        <f t="shared" si="183"/>
        <v>0</v>
      </c>
      <c r="W246" s="67">
        <f t="shared" si="184"/>
        <v>0</v>
      </c>
      <c r="X246" s="67">
        <f t="shared" si="185"/>
        <v>0</v>
      </c>
      <c r="Y246" s="67">
        <f t="shared" si="186"/>
        <v>3198445.5</v>
      </c>
      <c r="Z246" s="67">
        <f t="shared" si="187"/>
        <v>3198445.5</v>
      </c>
      <c r="AA246" s="62"/>
      <c r="AB246" s="67">
        <f t="shared" si="188"/>
        <v>0</v>
      </c>
      <c r="AC246" s="67">
        <f t="shared" si="188"/>
        <v>0</v>
      </c>
      <c r="AD246" s="67">
        <f t="shared" si="188"/>
        <v>0</v>
      </c>
      <c r="AE246" s="67">
        <f t="shared" si="188"/>
        <v>0</v>
      </c>
      <c r="AF246" s="67">
        <f t="shared" si="188"/>
        <v>0</v>
      </c>
      <c r="AG246" s="67">
        <f t="shared" si="188"/>
        <v>0</v>
      </c>
      <c r="AH246" s="67">
        <f t="shared" si="189"/>
        <v>1066148.5</v>
      </c>
      <c r="AI246" s="67">
        <f t="shared" si="190"/>
        <v>1066148.5</v>
      </c>
      <c r="AJ246" s="67">
        <f t="shared" si="190"/>
        <v>1066148.5</v>
      </c>
      <c r="AK246" s="67"/>
      <c r="AL246" s="67"/>
      <c r="AM246" s="67"/>
      <c r="AN246" s="67">
        <f t="shared" si="191"/>
        <v>3198445.5</v>
      </c>
    </row>
    <row r="247" spans="2:40" ht="12" outlineLevel="1" thickBot="1" x14ac:dyDescent="0.3">
      <c r="B247" s="75" t="s">
        <v>322</v>
      </c>
      <c r="C247" s="76"/>
      <c r="D247" s="76"/>
      <c r="E247" s="77">
        <f t="shared" ref="E247:Z247" si="192">SUBTOTAL(9,E237:E246)</f>
        <v>87</v>
      </c>
      <c r="F247" s="77">
        <f t="shared" si="192"/>
        <v>4716709.99</v>
      </c>
      <c r="G247" s="77">
        <f t="shared" si="192"/>
        <v>1588794</v>
      </c>
      <c r="H247" s="77">
        <f t="shared" si="192"/>
        <v>6305503.9900000002</v>
      </c>
      <c r="I247" s="77">
        <f t="shared" si="192"/>
        <v>4304981</v>
      </c>
      <c r="J247" s="77">
        <f t="shared" si="192"/>
        <v>7715666</v>
      </c>
      <c r="K247" s="77">
        <f t="shared" si="192"/>
        <v>1553949</v>
      </c>
      <c r="L247" s="77">
        <f t="shared" si="192"/>
        <v>4402709</v>
      </c>
      <c r="M247" s="77">
        <f t="shared" si="192"/>
        <v>9524034</v>
      </c>
      <c r="N247" s="77">
        <f t="shared" si="192"/>
        <v>33843554.299999997</v>
      </c>
      <c r="O247" s="77">
        <f t="shared" si="192"/>
        <v>0</v>
      </c>
      <c r="P247" s="77">
        <f t="shared" si="192"/>
        <v>0</v>
      </c>
      <c r="Q247" s="78">
        <f t="shared" si="192"/>
        <v>67650397.289999992</v>
      </c>
      <c r="S247" s="79">
        <f t="shared" si="192"/>
        <v>3152751.9950000001</v>
      </c>
      <c r="T247" s="78">
        <f t="shared" si="192"/>
        <v>2152490.5</v>
      </c>
      <c r="U247" s="78">
        <f t="shared" si="192"/>
        <v>4629399.5999999996</v>
      </c>
      <c r="V247" s="78">
        <f t="shared" si="192"/>
        <v>1087764.2999999998</v>
      </c>
      <c r="W247" s="78">
        <f t="shared" si="192"/>
        <v>3081896.3</v>
      </c>
      <c r="X247" s="78">
        <f t="shared" si="192"/>
        <v>7143025.5</v>
      </c>
      <c r="Y247" s="78">
        <f t="shared" si="192"/>
        <v>23201534.547499999</v>
      </c>
      <c r="Z247" s="78">
        <f t="shared" si="192"/>
        <v>44448862.7425</v>
      </c>
      <c r="AA247" s="62"/>
      <c r="AB247" s="78">
        <f t="shared" ref="AB247:AN247" si="193">SUBTOTAL(9,AB237:AB246)</f>
        <v>3152751.9950000001</v>
      </c>
      <c r="AC247" s="78">
        <f t="shared" si="193"/>
        <v>2152490.5</v>
      </c>
      <c r="AD247" s="78">
        <f t="shared" si="193"/>
        <v>4629399.5999999996</v>
      </c>
      <c r="AE247" s="78">
        <f t="shared" si="193"/>
        <v>1087764.2999999998</v>
      </c>
      <c r="AF247" s="78">
        <f t="shared" si="193"/>
        <v>3081896.3</v>
      </c>
      <c r="AG247" s="78">
        <f t="shared" si="193"/>
        <v>7143025.5</v>
      </c>
      <c r="AH247" s="78">
        <f t="shared" si="193"/>
        <v>7733844.849166668</v>
      </c>
      <c r="AI247" s="78">
        <f t="shared" si="193"/>
        <v>7733844.849166668</v>
      </c>
      <c r="AJ247" s="78">
        <f t="shared" si="193"/>
        <v>7733844.849166668</v>
      </c>
      <c r="AK247" s="78">
        <f t="shared" si="193"/>
        <v>0</v>
      </c>
      <c r="AL247" s="78">
        <f t="shared" si="193"/>
        <v>0</v>
      </c>
      <c r="AM247" s="78">
        <f t="shared" si="193"/>
        <v>0</v>
      </c>
      <c r="AN247" s="78">
        <f t="shared" si="193"/>
        <v>44448862.7425</v>
      </c>
    </row>
    <row r="248" spans="2:40" outlineLevel="2" x14ac:dyDescent="0.25">
      <c r="B248" s="63" t="s">
        <v>323</v>
      </c>
      <c r="C248" s="64">
        <v>800140951</v>
      </c>
      <c r="D248" s="65" t="s">
        <v>324</v>
      </c>
      <c r="E248" s="66">
        <v>1</v>
      </c>
      <c r="F248" s="66">
        <v>0</v>
      </c>
      <c r="G248" s="66">
        <v>0</v>
      </c>
      <c r="H248" s="66">
        <f t="shared" si="160"/>
        <v>0</v>
      </c>
      <c r="I248" s="66">
        <v>0</v>
      </c>
      <c r="J248" s="66">
        <v>0</v>
      </c>
      <c r="K248" s="66">
        <v>0</v>
      </c>
      <c r="L248" s="66">
        <v>0</v>
      </c>
      <c r="M248" s="66">
        <v>0</v>
      </c>
      <c r="N248" s="66">
        <v>74255</v>
      </c>
      <c r="O248" s="66">
        <v>0</v>
      </c>
      <c r="P248" s="66">
        <v>0</v>
      </c>
      <c r="Q248" s="67">
        <f t="shared" si="159"/>
        <v>74255</v>
      </c>
      <c r="S248" s="68">
        <f t="shared" ref="S248:T265" si="194">+H248*50%</f>
        <v>0</v>
      </c>
      <c r="T248" s="67">
        <f t="shared" si="194"/>
        <v>0</v>
      </c>
      <c r="U248" s="67">
        <f t="shared" ref="U248:U265" si="195">+J248*60%</f>
        <v>0</v>
      </c>
      <c r="V248" s="67">
        <f t="shared" ref="V248:V265" si="196">+K248*70%</f>
        <v>0</v>
      </c>
      <c r="W248" s="67">
        <f t="shared" ref="W248:W265" si="197">+L248*0.7</f>
        <v>0</v>
      </c>
      <c r="X248" s="67">
        <f t="shared" ref="X248:X265" si="198">+M248*0.75</f>
        <v>0</v>
      </c>
      <c r="Y248" s="67">
        <f t="shared" ref="Y248:Y265" si="199">(Q248-S248-T248-U248-V248-W248-X248)*50%</f>
        <v>37127.5</v>
      </c>
      <c r="Z248" s="67">
        <f t="shared" ref="Z248:Z265" si="200">+SUM(S248:Y248)</f>
        <v>37127.5</v>
      </c>
      <c r="AA248" s="62"/>
      <c r="AB248" s="67">
        <f t="shared" ref="AB248:AG265" si="201">+S248</f>
        <v>0</v>
      </c>
      <c r="AC248" s="67">
        <f t="shared" si="201"/>
        <v>0</v>
      </c>
      <c r="AD248" s="67">
        <f t="shared" si="201"/>
        <v>0</v>
      </c>
      <c r="AE248" s="67">
        <f t="shared" si="201"/>
        <v>0</v>
      </c>
      <c r="AF248" s="67">
        <f t="shared" si="201"/>
        <v>0</v>
      </c>
      <c r="AG248" s="67">
        <f t="shared" si="201"/>
        <v>0</v>
      </c>
      <c r="AH248" s="67">
        <f t="shared" ref="AH248:AH265" si="202">+Y248/3</f>
        <v>12375.833333333334</v>
      </c>
      <c r="AI248" s="67">
        <f t="shared" ref="AI248:AJ263" si="203">+AH248</f>
        <v>12375.833333333334</v>
      </c>
      <c r="AJ248" s="67">
        <f t="shared" si="203"/>
        <v>12375.833333333334</v>
      </c>
      <c r="AK248" s="67"/>
      <c r="AL248" s="67"/>
      <c r="AM248" s="67"/>
      <c r="AN248" s="67">
        <f t="shared" ref="AN248:AN265" si="204">+SUM(AB248:AM248)</f>
        <v>37127.5</v>
      </c>
    </row>
    <row r="249" spans="2:40" outlineLevel="2" x14ac:dyDescent="0.25">
      <c r="B249" s="63" t="s">
        <v>323</v>
      </c>
      <c r="C249" s="64">
        <v>800215546</v>
      </c>
      <c r="D249" s="65" t="s">
        <v>325</v>
      </c>
      <c r="E249" s="66">
        <v>967</v>
      </c>
      <c r="F249" s="66">
        <v>0</v>
      </c>
      <c r="G249" s="66">
        <v>0</v>
      </c>
      <c r="H249" s="66">
        <f t="shared" si="160"/>
        <v>0</v>
      </c>
      <c r="I249" s="66">
        <v>0</v>
      </c>
      <c r="J249" s="66">
        <v>0</v>
      </c>
      <c r="K249" s="66">
        <v>0</v>
      </c>
      <c r="L249" s="66">
        <v>0</v>
      </c>
      <c r="M249" s="66">
        <v>0</v>
      </c>
      <c r="N249" s="66">
        <v>703575449</v>
      </c>
      <c r="O249" s="66">
        <v>0</v>
      </c>
      <c r="P249" s="66">
        <v>0</v>
      </c>
      <c r="Q249" s="67">
        <f t="shared" si="159"/>
        <v>703575449</v>
      </c>
      <c r="S249" s="68">
        <f t="shared" si="194"/>
        <v>0</v>
      </c>
      <c r="T249" s="67">
        <f t="shared" si="194"/>
        <v>0</v>
      </c>
      <c r="U249" s="67">
        <f t="shared" si="195"/>
        <v>0</v>
      </c>
      <c r="V249" s="67">
        <f t="shared" si="196"/>
        <v>0</v>
      </c>
      <c r="W249" s="67">
        <f t="shared" si="197"/>
        <v>0</v>
      </c>
      <c r="X249" s="67">
        <f t="shared" si="198"/>
        <v>0</v>
      </c>
      <c r="Y249" s="67">
        <f t="shared" si="199"/>
        <v>351787724.5</v>
      </c>
      <c r="Z249" s="67">
        <f t="shared" si="200"/>
        <v>351787724.5</v>
      </c>
      <c r="AA249" s="62"/>
      <c r="AB249" s="67">
        <f t="shared" si="201"/>
        <v>0</v>
      </c>
      <c r="AC249" s="67">
        <f t="shared" si="201"/>
        <v>0</v>
      </c>
      <c r="AD249" s="67">
        <f t="shared" si="201"/>
        <v>0</v>
      </c>
      <c r="AE249" s="67">
        <f t="shared" si="201"/>
        <v>0</v>
      </c>
      <c r="AF249" s="67">
        <f t="shared" si="201"/>
        <v>0</v>
      </c>
      <c r="AG249" s="67">
        <f t="shared" si="201"/>
        <v>0</v>
      </c>
      <c r="AH249" s="67">
        <f t="shared" si="202"/>
        <v>117262574.83333333</v>
      </c>
      <c r="AI249" s="67">
        <f t="shared" si="203"/>
        <v>117262574.83333333</v>
      </c>
      <c r="AJ249" s="67">
        <f t="shared" si="203"/>
        <v>117262574.83333333</v>
      </c>
      <c r="AK249" s="67"/>
      <c r="AL249" s="67"/>
      <c r="AM249" s="67"/>
      <c r="AN249" s="67">
        <f t="shared" si="204"/>
        <v>351787724.5</v>
      </c>
    </row>
    <row r="250" spans="2:40" outlineLevel="2" x14ac:dyDescent="0.25">
      <c r="B250" s="63" t="s">
        <v>323</v>
      </c>
      <c r="C250" s="64">
        <v>830032532</v>
      </c>
      <c r="D250" s="65" t="s">
        <v>326</v>
      </c>
      <c r="E250" s="66">
        <v>4</v>
      </c>
      <c r="F250" s="66">
        <v>0</v>
      </c>
      <c r="G250" s="66">
        <v>0</v>
      </c>
      <c r="H250" s="66">
        <f t="shared" si="160"/>
        <v>0</v>
      </c>
      <c r="I250" s="66">
        <v>0</v>
      </c>
      <c r="J250" s="66">
        <v>0</v>
      </c>
      <c r="K250" s="66">
        <v>0</v>
      </c>
      <c r="L250" s="66">
        <v>0</v>
      </c>
      <c r="M250" s="66">
        <v>0</v>
      </c>
      <c r="N250" s="66">
        <v>9971665</v>
      </c>
      <c r="O250" s="66">
        <v>0</v>
      </c>
      <c r="P250" s="66">
        <v>0</v>
      </c>
      <c r="Q250" s="67">
        <f t="shared" si="159"/>
        <v>9971665</v>
      </c>
      <c r="S250" s="68">
        <f t="shared" si="194"/>
        <v>0</v>
      </c>
      <c r="T250" s="67">
        <f t="shared" si="194"/>
        <v>0</v>
      </c>
      <c r="U250" s="67">
        <f t="shared" si="195"/>
        <v>0</v>
      </c>
      <c r="V250" s="67">
        <f t="shared" si="196"/>
        <v>0</v>
      </c>
      <c r="W250" s="67">
        <f t="shared" si="197"/>
        <v>0</v>
      </c>
      <c r="X250" s="67">
        <f t="shared" si="198"/>
        <v>0</v>
      </c>
      <c r="Y250" s="67">
        <f t="shared" si="199"/>
        <v>4985832.5</v>
      </c>
      <c r="Z250" s="67">
        <f t="shared" si="200"/>
        <v>4985832.5</v>
      </c>
      <c r="AA250" s="62"/>
      <c r="AB250" s="67">
        <f t="shared" si="201"/>
        <v>0</v>
      </c>
      <c r="AC250" s="67">
        <f t="shared" si="201"/>
        <v>0</v>
      </c>
      <c r="AD250" s="67">
        <f t="shared" si="201"/>
        <v>0</v>
      </c>
      <c r="AE250" s="67">
        <f t="shared" si="201"/>
        <v>0</v>
      </c>
      <c r="AF250" s="67">
        <f t="shared" si="201"/>
        <v>0</v>
      </c>
      <c r="AG250" s="67">
        <f t="shared" si="201"/>
        <v>0</v>
      </c>
      <c r="AH250" s="67">
        <f t="shared" si="202"/>
        <v>1661944.1666666667</v>
      </c>
      <c r="AI250" s="67">
        <f t="shared" si="203"/>
        <v>1661944.1666666667</v>
      </c>
      <c r="AJ250" s="67">
        <f t="shared" si="203"/>
        <v>1661944.1666666667</v>
      </c>
      <c r="AK250" s="67"/>
      <c r="AL250" s="67"/>
      <c r="AM250" s="67"/>
      <c r="AN250" s="67">
        <f t="shared" si="204"/>
        <v>4985832.5</v>
      </c>
    </row>
    <row r="251" spans="2:40" outlineLevel="2" x14ac:dyDescent="0.25">
      <c r="B251" s="63" t="s">
        <v>323</v>
      </c>
      <c r="C251" s="64">
        <v>830053105</v>
      </c>
      <c r="D251" s="65" t="s">
        <v>327</v>
      </c>
      <c r="E251" s="66">
        <v>221</v>
      </c>
      <c r="F251" s="66">
        <v>6318548</v>
      </c>
      <c r="G251" s="66">
        <v>14922761</v>
      </c>
      <c r="H251" s="66">
        <f t="shared" si="160"/>
        <v>21241309</v>
      </c>
      <c r="I251" s="66">
        <v>24587858</v>
      </c>
      <c r="J251" s="66">
        <v>58134143</v>
      </c>
      <c r="K251" s="66">
        <v>35329800</v>
      </c>
      <c r="L251" s="66">
        <v>60245730.000000007</v>
      </c>
      <c r="M251" s="66">
        <v>9468285.9999999981</v>
      </c>
      <c r="N251" s="66">
        <v>280669619.36000001</v>
      </c>
      <c r="O251" s="66">
        <v>0</v>
      </c>
      <c r="P251" s="66">
        <v>-55826686.299999997</v>
      </c>
      <c r="Q251" s="67">
        <f>SUM(H251:P251)</f>
        <v>433850059.06</v>
      </c>
      <c r="S251" s="68">
        <f t="shared" si="194"/>
        <v>10620654.5</v>
      </c>
      <c r="T251" s="67">
        <f t="shared" si="194"/>
        <v>12293929</v>
      </c>
      <c r="U251" s="67">
        <f t="shared" si="195"/>
        <v>34880485.799999997</v>
      </c>
      <c r="V251" s="67">
        <f t="shared" si="196"/>
        <v>24730860</v>
      </c>
      <c r="W251" s="67">
        <f t="shared" si="197"/>
        <v>42172011</v>
      </c>
      <c r="X251" s="67">
        <f t="shared" si="198"/>
        <v>7101214.4999999981</v>
      </c>
      <c r="Y251" s="67">
        <f t="shared" si="199"/>
        <v>151025452.13</v>
      </c>
      <c r="Z251" s="67">
        <f t="shared" si="200"/>
        <v>282824606.93000001</v>
      </c>
      <c r="AA251" s="62"/>
      <c r="AB251" s="67">
        <f t="shared" si="201"/>
        <v>10620654.5</v>
      </c>
      <c r="AC251" s="67">
        <f t="shared" si="201"/>
        <v>12293929</v>
      </c>
      <c r="AD251" s="67">
        <f t="shared" si="201"/>
        <v>34880485.799999997</v>
      </c>
      <c r="AE251" s="67">
        <f t="shared" si="201"/>
        <v>24730860</v>
      </c>
      <c r="AF251" s="67">
        <f t="shared" si="201"/>
        <v>42172011</v>
      </c>
      <c r="AG251" s="67">
        <f t="shared" si="201"/>
        <v>7101214.4999999981</v>
      </c>
      <c r="AH251" s="67">
        <f t="shared" si="202"/>
        <v>50341817.376666665</v>
      </c>
      <c r="AI251" s="67">
        <f t="shared" si="203"/>
        <v>50341817.376666665</v>
      </c>
      <c r="AJ251" s="67">
        <f t="shared" si="203"/>
        <v>50341817.376666665</v>
      </c>
      <c r="AK251" s="67"/>
      <c r="AL251" s="67"/>
      <c r="AM251" s="67"/>
      <c r="AN251" s="67">
        <f t="shared" si="204"/>
        <v>282824606.93000001</v>
      </c>
    </row>
    <row r="252" spans="2:40" outlineLevel="2" x14ac:dyDescent="0.25">
      <c r="B252" s="63" t="s">
        <v>323</v>
      </c>
      <c r="C252" s="64">
        <v>899999061</v>
      </c>
      <c r="D252" s="65" t="s">
        <v>171</v>
      </c>
      <c r="E252" s="66">
        <v>63</v>
      </c>
      <c r="F252" s="66">
        <v>0</v>
      </c>
      <c r="G252" s="66">
        <v>0</v>
      </c>
      <c r="H252" s="66">
        <f t="shared" si="160"/>
        <v>0</v>
      </c>
      <c r="I252" s="66">
        <v>0</v>
      </c>
      <c r="J252" s="66">
        <v>0</v>
      </c>
      <c r="K252" s="66">
        <v>0</v>
      </c>
      <c r="L252" s="66">
        <v>0</v>
      </c>
      <c r="M252" s="66">
        <v>0</v>
      </c>
      <c r="N252" s="66">
        <v>1176071638</v>
      </c>
      <c r="O252" s="66">
        <v>0</v>
      </c>
      <c r="P252" s="66">
        <v>0</v>
      </c>
      <c r="Q252" s="67">
        <f>SUM(H252:P252)</f>
        <v>1176071638</v>
      </c>
      <c r="S252" s="68">
        <f t="shared" si="194"/>
        <v>0</v>
      </c>
      <c r="T252" s="67">
        <f t="shared" si="194"/>
        <v>0</v>
      </c>
      <c r="U252" s="67">
        <f t="shared" si="195"/>
        <v>0</v>
      </c>
      <c r="V252" s="67">
        <f t="shared" si="196"/>
        <v>0</v>
      </c>
      <c r="W252" s="67">
        <f t="shared" si="197"/>
        <v>0</v>
      </c>
      <c r="X252" s="67">
        <f t="shared" si="198"/>
        <v>0</v>
      </c>
      <c r="Y252" s="67">
        <f t="shared" si="199"/>
        <v>588035819</v>
      </c>
      <c r="Z252" s="67">
        <f t="shared" si="200"/>
        <v>588035819</v>
      </c>
      <c r="AA252" s="62"/>
      <c r="AB252" s="67">
        <f t="shared" si="201"/>
        <v>0</v>
      </c>
      <c r="AC252" s="67">
        <f t="shared" si="201"/>
        <v>0</v>
      </c>
      <c r="AD252" s="67">
        <f t="shared" si="201"/>
        <v>0</v>
      </c>
      <c r="AE252" s="67">
        <f t="shared" si="201"/>
        <v>0</v>
      </c>
      <c r="AF252" s="67">
        <f t="shared" si="201"/>
        <v>0</v>
      </c>
      <c r="AG252" s="67">
        <f t="shared" si="201"/>
        <v>0</v>
      </c>
      <c r="AH252" s="67">
        <f t="shared" si="202"/>
        <v>196011939.66666666</v>
      </c>
      <c r="AI252" s="67">
        <f t="shared" si="203"/>
        <v>196011939.66666666</v>
      </c>
      <c r="AJ252" s="67">
        <f t="shared" si="203"/>
        <v>196011939.66666666</v>
      </c>
      <c r="AK252" s="67"/>
      <c r="AL252" s="67"/>
      <c r="AM252" s="67"/>
      <c r="AN252" s="67">
        <f t="shared" si="204"/>
        <v>588035819</v>
      </c>
    </row>
    <row r="253" spans="2:40" outlineLevel="2" x14ac:dyDescent="0.25">
      <c r="B253" s="63" t="s">
        <v>323</v>
      </c>
      <c r="C253" s="64">
        <v>899999063</v>
      </c>
      <c r="D253" s="65" t="s">
        <v>328</v>
      </c>
      <c r="E253" s="66">
        <v>6</v>
      </c>
      <c r="F253" s="66">
        <v>0</v>
      </c>
      <c r="G253" s="66">
        <v>0</v>
      </c>
      <c r="H253" s="66">
        <f t="shared" si="160"/>
        <v>0</v>
      </c>
      <c r="I253" s="66">
        <v>0</v>
      </c>
      <c r="J253" s="66">
        <v>0</v>
      </c>
      <c r="K253" s="66">
        <v>0</v>
      </c>
      <c r="L253" s="66">
        <v>0</v>
      </c>
      <c r="M253" s="66">
        <v>0</v>
      </c>
      <c r="N253" s="66">
        <v>1441442</v>
      </c>
      <c r="O253" s="66">
        <v>0</v>
      </c>
      <c r="P253" s="66">
        <v>0</v>
      </c>
      <c r="Q253" s="67">
        <f>SUM(H253:P253)</f>
        <v>1441442</v>
      </c>
      <c r="S253" s="68">
        <f t="shared" si="194"/>
        <v>0</v>
      </c>
      <c r="T253" s="67">
        <f t="shared" si="194"/>
        <v>0</v>
      </c>
      <c r="U253" s="67">
        <f t="shared" si="195"/>
        <v>0</v>
      </c>
      <c r="V253" s="67">
        <f t="shared" si="196"/>
        <v>0</v>
      </c>
      <c r="W253" s="67">
        <f t="shared" si="197"/>
        <v>0</v>
      </c>
      <c r="X253" s="67">
        <f t="shared" si="198"/>
        <v>0</v>
      </c>
      <c r="Y253" s="67">
        <f t="shared" si="199"/>
        <v>720721</v>
      </c>
      <c r="Z253" s="67">
        <f t="shared" si="200"/>
        <v>720721</v>
      </c>
      <c r="AA253" s="62"/>
      <c r="AB253" s="67">
        <f t="shared" si="201"/>
        <v>0</v>
      </c>
      <c r="AC253" s="67">
        <f t="shared" si="201"/>
        <v>0</v>
      </c>
      <c r="AD253" s="67">
        <f t="shared" si="201"/>
        <v>0</v>
      </c>
      <c r="AE253" s="67">
        <f t="shared" si="201"/>
        <v>0</v>
      </c>
      <c r="AF253" s="67">
        <f t="shared" si="201"/>
        <v>0</v>
      </c>
      <c r="AG253" s="67">
        <f t="shared" si="201"/>
        <v>0</v>
      </c>
      <c r="AH253" s="67">
        <f t="shared" si="202"/>
        <v>240240.33333333334</v>
      </c>
      <c r="AI253" s="67">
        <f t="shared" si="203"/>
        <v>240240.33333333334</v>
      </c>
      <c r="AJ253" s="67">
        <f t="shared" si="203"/>
        <v>240240.33333333334</v>
      </c>
      <c r="AK253" s="67"/>
      <c r="AL253" s="67"/>
      <c r="AM253" s="67"/>
      <c r="AN253" s="67">
        <f t="shared" si="204"/>
        <v>720721</v>
      </c>
    </row>
    <row r="254" spans="2:40" outlineLevel="2" x14ac:dyDescent="0.25">
      <c r="B254" s="63" t="s">
        <v>323</v>
      </c>
      <c r="C254" s="64">
        <v>899999068</v>
      </c>
      <c r="D254" s="65" t="s">
        <v>329</v>
      </c>
      <c r="E254" s="66">
        <v>1</v>
      </c>
      <c r="F254" s="66">
        <v>0</v>
      </c>
      <c r="G254" s="66">
        <v>14571712</v>
      </c>
      <c r="H254" s="66">
        <f t="shared" si="160"/>
        <v>14571712</v>
      </c>
      <c r="I254" s="66">
        <v>0</v>
      </c>
      <c r="J254" s="66">
        <v>0</v>
      </c>
      <c r="K254" s="66">
        <v>0</v>
      </c>
      <c r="L254" s="66">
        <v>0</v>
      </c>
      <c r="M254" s="66">
        <v>0</v>
      </c>
      <c r="N254" s="66">
        <v>0</v>
      </c>
      <c r="O254" s="66">
        <v>0</v>
      </c>
      <c r="P254" s="66">
        <v>0</v>
      </c>
      <c r="Q254" s="67">
        <f>SUM(H254:P254)</f>
        <v>14571712</v>
      </c>
      <c r="S254" s="68">
        <f t="shared" si="194"/>
        <v>7285856</v>
      </c>
      <c r="T254" s="67">
        <f t="shared" si="194"/>
        <v>0</v>
      </c>
      <c r="U254" s="67">
        <f t="shared" si="195"/>
        <v>0</v>
      </c>
      <c r="V254" s="67">
        <f t="shared" si="196"/>
        <v>0</v>
      </c>
      <c r="W254" s="67">
        <f t="shared" si="197"/>
        <v>0</v>
      </c>
      <c r="X254" s="67">
        <f t="shared" si="198"/>
        <v>0</v>
      </c>
      <c r="Y254" s="67">
        <f t="shared" si="199"/>
        <v>3642928</v>
      </c>
      <c r="Z254" s="67">
        <f t="shared" si="200"/>
        <v>10928784</v>
      </c>
      <c r="AA254" s="62"/>
      <c r="AB254" s="67">
        <f t="shared" si="201"/>
        <v>7285856</v>
      </c>
      <c r="AC254" s="67">
        <f t="shared" si="201"/>
        <v>0</v>
      </c>
      <c r="AD254" s="67">
        <f t="shared" si="201"/>
        <v>0</v>
      </c>
      <c r="AE254" s="67">
        <f t="shared" si="201"/>
        <v>0</v>
      </c>
      <c r="AF254" s="67">
        <f t="shared" si="201"/>
        <v>0</v>
      </c>
      <c r="AG254" s="67">
        <f t="shared" si="201"/>
        <v>0</v>
      </c>
      <c r="AH254" s="67">
        <f t="shared" si="202"/>
        <v>1214309.3333333333</v>
      </c>
      <c r="AI254" s="67">
        <f t="shared" si="203"/>
        <v>1214309.3333333333</v>
      </c>
      <c r="AJ254" s="67">
        <f t="shared" si="203"/>
        <v>1214309.3333333333</v>
      </c>
      <c r="AK254" s="67"/>
      <c r="AL254" s="67"/>
      <c r="AM254" s="67"/>
      <c r="AN254" s="67">
        <f t="shared" si="204"/>
        <v>10928784.000000002</v>
      </c>
    </row>
    <row r="255" spans="2:40" outlineLevel="2" x14ac:dyDescent="0.25">
      <c r="B255" s="63" t="s">
        <v>323</v>
      </c>
      <c r="C255" s="64">
        <v>900336524</v>
      </c>
      <c r="D255" s="65" t="s">
        <v>330</v>
      </c>
      <c r="E255" s="66">
        <v>479</v>
      </c>
      <c r="F255" s="66">
        <v>11806729</v>
      </c>
      <c r="G255" s="66">
        <v>37373955</v>
      </c>
      <c r="H255" s="66">
        <f t="shared" si="160"/>
        <v>49180684</v>
      </c>
      <c r="I255" s="66">
        <v>12414582</v>
      </c>
      <c r="J255" s="66">
        <v>39305397</v>
      </c>
      <c r="K255" s="66">
        <v>24135174</v>
      </c>
      <c r="L255" s="66">
        <v>93896211</v>
      </c>
      <c r="M255" s="66">
        <v>307127825</v>
      </c>
      <c r="N255" s="66">
        <v>10669642.149999999</v>
      </c>
      <c r="O255" s="66">
        <v>0</v>
      </c>
      <c r="P255" s="66">
        <v>-410563313.5</v>
      </c>
      <c r="Q255" s="67">
        <f>SUM(H255:P255)</f>
        <v>126166201.64999998</v>
      </c>
      <c r="S255" s="68">
        <f t="shared" si="194"/>
        <v>24590342</v>
      </c>
      <c r="T255" s="67">
        <f t="shared" si="194"/>
        <v>6207291</v>
      </c>
      <c r="U255" s="67">
        <f t="shared" si="195"/>
        <v>23583238.199999999</v>
      </c>
      <c r="V255" s="67">
        <f t="shared" si="196"/>
        <v>16894621.800000001</v>
      </c>
      <c r="W255" s="67">
        <v>54890708.649999976</v>
      </c>
      <c r="X255" s="67">
        <v>0</v>
      </c>
      <c r="Y255" s="67">
        <v>0</v>
      </c>
      <c r="Z255" s="67">
        <f t="shared" si="200"/>
        <v>126166201.64999998</v>
      </c>
      <c r="AA255" s="62"/>
      <c r="AB255" s="67">
        <f t="shared" si="201"/>
        <v>24590342</v>
      </c>
      <c r="AC255" s="67">
        <f t="shared" si="201"/>
        <v>6207291</v>
      </c>
      <c r="AD255" s="67">
        <f t="shared" si="201"/>
        <v>23583238.199999999</v>
      </c>
      <c r="AE255" s="67">
        <f t="shared" si="201"/>
        <v>16894621.800000001</v>
      </c>
      <c r="AF255" s="67">
        <f t="shared" si="201"/>
        <v>54890708.649999976</v>
      </c>
      <c r="AG255" s="67">
        <f t="shared" si="201"/>
        <v>0</v>
      </c>
      <c r="AH255" s="67">
        <f t="shared" si="202"/>
        <v>0</v>
      </c>
      <c r="AI255" s="67">
        <f t="shared" si="203"/>
        <v>0</v>
      </c>
      <c r="AJ255" s="67">
        <f t="shared" si="203"/>
        <v>0</v>
      </c>
      <c r="AK255" s="67"/>
      <c r="AL255" s="67"/>
      <c r="AM255" s="67"/>
      <c r="AN255" s="67">
        <f t="shared" si="204"/>
        <v>126166201.64999998</v>
      </c>
    </row>
    <row r="256" spans="2:40" outlineLevel="2" x14ac:dyDescent="0.25">
      <c r="B256" s="63" t="s">
        <v>323</v>
      </c>
      <c r="C256" s="64">
        <v>900486439</v>
      </c>
      <c r="D256" s="65" t="s">
        <v>331</v>
      </c>
      <c r="E256" s="66">
        <v>1</v>
      </c>
      <c r="F256" s="66">
        <v>0</v>
      </c>
      <c r="G256" s="66">
        <v>0</v>
      </c>
      <c r="H256" s="66">
        <f t="shared" si="160"/>
        <v>0</v>
      </c>
      <c r="I256" s="66">
        <v>0</v>
      </c>
      <c r="J256" s="66">
        <v>0</v>
      </c>
      <c r="K256" s="66">
        <v>0</v>
      </c>
      <c r="L256" s="66">
        <v>0</v>
      </c>
      <c r="M256" s="66">
        <v>0</v>
      </c>
      <c r="N256" s="66">
        <v>9097715</v>
      </c>
      <c r="O256" s="66">
        <v>0</v>
      </c>
      <c r="P256" s="66">
        <v>0</v>
      </c>
      <c r="Q256" s="67">
        <f t="shared" ref="Q256:Q291" si="205">SUM(H256:P256)</f>
        <v>9097715</v>
      </c>
      <c r="S256" s="68">
        <f t="shared" si="194"/>
        <v>0</v>
      </c>
      <c r="T256" s="67">
        <f t="shared" si="194"/>
        <v>0</v>
      </c>
      <c r="U256" s="67">
        <f t="shared" si="195"/>
        <v>0</v>
      </c>
      <c r="V256" s="67">
        <f t="shared" si="196"/>
        <v>0</v>
      </c>
      <c r="W256" s="67">
        <f t="shared" si="197"/>
        <v>0</v>
      </c>
      <c r="X256" s="67">
        <f t="shared" si="198"/>
        <v>0</v>
      </c>
      <c r="Y256" s="67">
        <f t="shared" si="199"/>
        <v>4548857.5</v>
      </c>
      <c r="Z256" s="67">
        <f t="shared" si="200"/>
        <v>4548857.5</v>
      </c>
      <c r="AA256" s="62"/>
      <c r="AB256" s="67">
        <f t="shared" si="201"/>
        <v>0</v>
      </c>
      <c r="AC256" s="67">
        <f t="shared" si="201"/>
        <v>0</v>
      </c>
      <c r="AD256" s="67">
        <f t="shared" si="201"/>
        <v>0</v>
      </c>
      <c r="AE256" s="67">
        <f t="shared" si="201"/>
        <v>0</v>
      </c>
      <c r="AF256" s="67">
        <f t="shared" si="201"/>
        <v>0</v>
      </c>
      <c r="AG256" s="67">
        <f t="shared" si="201"/>
        <v>0</v>
      </c>
      <c r="AH256" s="67">
        <f t="shared" si="202"/>
        <v>1516285.8333333333</v>
      </c>
      <c r="AI256" s="67">
        <f t="shared" si="203"/>
        <v>1516285.8333333333</v>
      </c>
      <c r="AJ256" s="67">
        <f t="shared" si="203"/>
        <v>1516285.8333333333</v>
      </c>
      <c r="AK256" s="67"/>
      <c r="AL256" s="67"/>
      <c r="AM256" s="67"/>
      <c r="AN256" s="67">
        <f t="shared" si="204"/>
        <v>4548857.5</v>
      </c>
    </row>
    <row r="257" spans="2:40" outlineLevel="2" x14ac:dyDescent="0.25">
      <c r="B257" s="63" t="s">
        <v>323</v>
      </c>
      <c r="C257" s="64">
        <v>901440176</v>
      </c>
      <c r="D257" s="65" t="s">
        <v>332</v>
      </c>
      <c r="E257" s="66">
        <v>224</v>
      </c>
      <c r="F257" s="66">
        <v>3724</v>
      </c>
      <c r="G257" s="66">
        <v>14360835</v>
      </c>
      <c r="H257" s="66">
        <f t="shared" si="160"/>
        <v>14364559</v>
      </c>
      <c r="I257" s="66">
        <v>183340</v>
      </c>
      <c r="J257" s="66">
        <v>42214</v>
      </c>
      <c r="K257" s="66">
        <v>0</v>
      </c>
      <c r="L257" s="66">
        <v>947864</v>
      </c>
      <c r="M257" s="66">
        <v>11298091</v>
      </c>
      <c r="N257" s="66">
        <v>105168407.97</v>
      </c>
      <c r="O257" s="66">
        <v>0</v>
      </c>
      <c r="P257" s="66">
        <v>-2407079</v>
      </c>
      <c r="Q257" s="67">
        <f t="shared" si="205"/>
        <v>129597396.97</v>
      </c>
      <c r="S257" s="68">
        <f t="shared" si="194"/>
        <v>7182279.5</v>
      </c>
      <c r="T257" s="67">
        <f t="shared" si="194"/>
        <v>91670</v>
      </c>
      <c r="U257" s="67">
        <f t="shared" si="195"/>
        <v>25328.399999999998</v>
      </c>
      <c r="V257" s="67">
        <f t="shared" si="196"/>
        <v>0</v>
      </c>
      <c r="W257" s="67">
        <f t="shared" si="197"/>
        <v>663504.79999999993</v>
      </c>
      <c r="X257" s="67">
        <f t="shared" si="198"/>
        <v>8473568.25</v>
      </c>
      <c r="Y257" s="67">
        <f t="shared" si="199"/>
        <v>56580523.009999998</v>
      </c>
      <c r="Z257" s="67">
        <f t="shared" si="200"/>
        <v>73016873.959999993</v>
      </c>
      <c r="AA257" s="62"/>
      <c r="AB257" s="67">
        <f t="shared" si="201"/>
        <v>7182279.5</v>
      </c>
      <c r="AC257" s="67">
        <f t="shared" si="201"/>
        <v>91670</v>
      </c>
      <c r="AD257" s="67">
        <f t="shared" si="201"/>
        <v>25328.399999999998</v>
      </c>
      <c r="AE257" s="67">
        <f t="shared" si="201"/>
        <v>0</v>
      </c>
      <c r="AF257" s="67">
        <f t="shared" si="201"/>
        <v>663504.79999999993</v>
      </c>
      <c r="AG257" s="67">
        <f t="shared" si="201"/>
        <v>8473568.25</v>
      </c>
      <c r="AH257" s="67">
        <f t="shared" si="202"/>
        <v>18860174.336666666</v>
      </c>
      <c r="AI257" s="67">
        <f t="shared" si="203"/>
        <v>18860174.336666666</v>
      </c>
      <c r="AJ257" s="67">
        <f t="shared" si="203"/>
        <v>18860174.336666666</v>
      </c>
      <c r="AK257" s="67"/>
      <c r="AL257" s="67"/>
      <c r="AM257" s="67"/>
      <c r="AN257" s="67">
        <f t="shared" si="204"/>
        <v>73016873.959999993</v>
      </c>
    </row>
    <row r="258" spans="2:40" outlineLevel="2" x14ac:dyDescent="0.25">
      <c r="B258" s="63" t="s">
        <v>323</v>
      </c>
      <c r="C258" s="64">
        <v>901495943</v>
      </c>
      <c r="D258" s="65" t="s">
        <v>333</v>
      </c>
      <c r="E258" s="66">
        <v>79</v>
      </c>
      <c r="F258" s="66">
        <v>88132691.239999995</v>
      </c>
      <c r="G258" s="66">
        <v>0</v>
      </c>
      <c r="H258" s="66">
        <f t="shared" si="160"/>
        <v>88132691.239999995</v>
      </c>
      <c r="I258" s="66">
        <v>0</v>
      </c>
      <c r="J258" s="66">
        <v>0</v>
      </c>
      <c r="K258" s="66">
        <v>0</v>
      </c>
      <c r="L258" s="66">
        <v>578520613</v>
      </c>
      <c r="M258" s="66">
        <v>0</v>
      </c>
      <c r="N258" s="66">
        <v>0</v>
      </c>
      <c r="O258" s="66">
        <v>0</v>
      </c>
      <c r="P258" s="66">
        <v>0</v>
      </c>
      <c r="Q258" s="67">
        <f t="shared" si="205"/>
        <v>666653304.24000001</v>
      </c>
      <c r="S258" s="68">
        <f t="shared" si="194"/>
        <v>44066345.619999997</v>
      </c>
      <c r="T258" s="67">
        <f t="shared" si="194"/>
        <v>0</v>
      </c>
      <c r="U258" s="67">
        <f t="shared" si="195"/>
        <v>0</v>
      </c>
      <c r="V258" s="67">
        <f t="shared" si="196"/>
        <v>0</v>
      </c>
      <c r="W258" s="67">
        <f t="shared" si="197"/>
        <v>404964429.09999996</v>
      </c>
      <c r="X258" s="67">
        <f t="shared" si="198"/>
        <v>0</v>
      </c>
      <c r="Y258" s="67">
        <f t="shared" si="199"/>
        <v>108811264.76000002</v>
      </c>
      <c r="Z258" s="67">
        <f t="shared" si="200"/>
        <v>557842039.48000002</v>
      </c>
      <c r="AA258" s="62"/>
      <c r="AB258" s="67">
        <f t="shared" si="201"/>
        <v>44066345.619999997</v>
      </c>
      <c r="AC258" s="67">
        <f t="shared" si="201"/>
        <v>0</v>
      </c>
      <c r="AD258" s="67">
        <f t="shared" si="201"/>
        <v>0</v>
      </c>
      <c r="AE258" s="67">
        <f t="shared" si="201"/>
        <v>0</v>
      </c>
      <c r="AF258" s="67">
        <f t="shared" si="201"/>
        <v>404964429.09999996</v>
      </c>
      <c r="AG258" s="67">
        <f t="shared" si="201"/>
        <v>0</v>
      </c>
      <c r="AH258" s="67">
        <f t="shared" si="202"/>
        <v>36270421.586666673</v>
      </c>
      <c r="AI258" s="67">
        <f t="shared" si="203"/>
        <v>36270421.586666673</v>
      </c>
      <c r="AJ258" s="67">
        <f t="shared" si="203"/>
        <v>36270421.586666673</v>
      </c>
      <c r="AK258" s="67"/>
      <c r="AL258" s="67"/>
      <c r="AM258" s="67"/>
      <c r="AN258" s="67">
        <f t="shared" si="204"/>
        <v>557842039.48000002</v>
      </c>
    </row>
    <row r="259" spans="2:40" outlineLevel="2" x14ac:dyDescent="0.25">
      <c r="B259" s="63" t="s">
        <v>323</v>
      </c>
      <c r="C259" s="64">
        <v>901540734</v>
      </c>
      <c r="D259" s="65" t="s">
        <v>334</v>
      </c>
      <c r="E259" s="66">
        <v>1</v>
      </c>
      <c r="F259" s="66">
        <v>0</v>
      </c>
      <c r="G259" s="66">
        <v>0</v>
      </c>
      <c r="H259" s="66">
        <f t="shared" si="160"/>
        <v>0</v>
      </c>
      <c r="I259" s="66">
        <v>0</v>
      </c>
      <c r="J259" s="66">
        <v>0</v>
      </c>
      <c r="K259" s="66">
        <v>0</v>
      </c>
      <c r="L259" s="66">
        <v>289772</v>
      </c>
      <c r="M259" s="66">
        <v>0</v>
      </c>
      <c r="N259" s="66">
        <v>0</v>
      </c>
      <c r="O259" s="66">
        <v>0</v>
      </c>
      <c r="P259" s="66">
        <v>0</v>
      </c>
      <c r="Q259" s="67">
        <f t="shared" si="205"/>
        <v>289772</v>
      </c>
      <c r="S259" s="68">
        <f t="shared" si="194"/>
        <v>0</v>
      </c>
      <c r="T259" s="67">
        <f t="shared" si="194"/>
        <v>0</v>
      </c>
      <c r="U259" s="67">
        <f t="shared" si="195"/>
        <v>0</v>
      </c>
      <c r="V259" s="67">
        <f t="shared" si="196"/>
        <v>0</v>
      </c>
      <c r="W259" s="67">
        <f t="shared" si="197"/>
        <v>202840.4</v>
      </c>
      <c r="X259" s="67">
        <f t="shared" si="198"/>
        <v>0</v>
      </c>
      <c r="Y259" s="67">
        <f t="shared" si="199"/>
        <v>43465.8</v>
      </c>
      <c r="Z259" s="67">
        <f t="shared" si="200"/>
        <v>246306.2</v>
      </c>
      <c r="AA259" s="62"/>
      <c r="AB259" s="67">
        <f t="shared" si="201"/>
        <v>0</v>
      </c>
      <c r="AC259" s="67">
        <f t="shared" si="201"/>
        <v>0</v>
      </c>
      <c r="AD259" s="67">
        <f t="shared" si="201"/>
        <v>0</v>
      </c>
      <c r="AE259" s="67">
        <f t="shared" si="201"/>
        <v>0</v>
      </c>
      <c r="AF259" s="67">
        <f t="shared" si="201"/>
        <v>202840.4</v>
      </c>
      <c r="AG259" s="67">
        <f t="shared" si="201"/>
        <v>0</v>
      </c>
      <c r="AH259" s="67">
        <f t="shared" si="202"/>
        <v>14488.6</v>
      </c>
      <c r="AI259" s="67">
        <f t="shared" si="203"/>
        <v>14488.6</v>
      </c>
      <c r="AJ259" s="67">
        <f t="shared" si="203"/>
        <v>14488.6</v>
      </c>
      <c r="AK259" s="67"/>
      <c r="AL259" s="67"/>
      <c r="AM259" s="67"/>
      <c r="AN259" s="67">
        <f t="shared" si="204"/>
        <v>246306.2</v>
      </c>
    </row>
    <row r="260" spans="2:40" outlineLevel="2" x14ac:dyDescent="0.25">
      <c r="B260" s="63" t="s">
        <v>323</v>
      </c>
      <c r="C260" s="64">
        <v>901540992</v>
      </c>
      <c r="D260" s="65" t="s">
        <v>335</v>
      </c>
      <c r="E260" s="66">
        <v>223</v>
      </c>
      <c r="F260" s="66">
        <v>97766</v>
      </c>
      <c r="G260" s="66">
        <v>68385006</v>
      </c>
      <c r="H260" s="66">
        <f t="shared" si="160"/>
        <v>68482772</v>
      </c>
      <c r="I260" s="66">
        <v>18382026</v>
      </c>
      <c r="J260" s="66">
        <v>21802199</v>
      </c>
      <c r="K260" s="66">
        <v>21892578</v>
      </c>
      <c r="L260" s="66">
        <v>51427169</v>
      </c>
      <c r="M260" s="66">
        <v>9774961</v>
      </c>
      <c r="N260" s="66">
        <v>2972204</v>
      </c>
      <c r="O260" s="66">
        <v>0</v>
      </c>
      <c r="P260" s="66">
        <v>-66606512</v>
      </c>
      <c r="Q260" s="67">
        <f t="shared" si="205"/>
        <v>128127397</v>
      </c>
      <c r="S260" s="68">
        <f t="shared" si="194"/>
        <v>34241386</v>
      </c>
      <c r="T260" s="67">
        <f t="shared" si="194"/>
        <v>9191013</v>
      </c>
      <c r="U260" s="67">
        <f t="shared" si="195"/>
        <v>13081319.4</v>
      </c>
      <c r="V260" s="67">
        <f t="shared" si="196"/>
        <v>15324804.6</v>
      </c>
      <c r="W260" s="67">
        <f t="shared" si="197"/>
        <v>35999018.299999997</v>
      </c>
      <c r="X260" s="67">
        <f t="shared" si="198"/>
        <v>7331220.75</v>
      </c>
      <c r="Y260" s="67">
        <f t="shared" si="199"/>
        <v>6479317.4749999978</v>
      </c>
      <c r="Z260" s="67">
        <f t="shared" si="200"/>
        <v>121648079.52499999</v>
      </c>
      <c r="AA260" s="62"/>
      <c r="AB260" s="67">
        <f t="shared" si="201"/>
        <v>34241386</v>
      </c>
      <c r="AC260" s="67">
        <f t="shared" si="201"/>
        <v>9191013</v>
      </c>
      <c r="AD260" s="67">
        <f t="shared" si="201"/>
        <v>13081319.4</v>
      </c>
      <c r="AE260" s="67">
        <f t="shared" si="201"/>
        <v>15324804.6</v>
      </c>
      <c r="AF260" s="67">
        <f t="shared" si="201"/>
        <v>35999018.299999997</v>
      </c>
      <c r="AG260" s="67">
        <f t="shared" si="201"/>
        <v>7331220.75</v>
      </c>
      <c r="AH260" s="67">
        <f t="shared" si="202"/>
        <v>2159772.4916666658</v>
      </c>
      <c r="AI260" s="67">
        <f t="shared" si="203"/>
        <v>2159772.4916666658</v>
      </c>
      <c r="AJ260" s="67">
        <f t="shared" si="203"/>
        <v>2159772.4916666658</v>
      </c>
      <c r="AK260" s="67"/>
      <c r="AL260" s="67"/>
      <c r="AM260" s="67"/>
      <c r="AN260" s="67">
        <f t="shared" si="204"/>
        <v>121648079.52499998</v>
      </c>
    </row>
    <row r="261" spans="2:40" outlineLevel="2" x14ac:dyDescent="0.25">
      <c r="B261" s="63" t="s">
        <v>323</v>
      </c>
      <c r="C261" s="64">
        <v>901541021</v>
      </c>
      <c r="D261" s="65" t="s">
        <v>336</v>
      </c>
      <c r="E261" s="66">
        <v>2</v>
      </c>
      <c r="F261" s="66">
        <v>438</v>
      </c>
      <c r="G261" s="66">
        <v>0</v>
      </c>
      <c r="H261" s="66">
        <f t="shared" si="160"/>
        <v>438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376340</v>
      </c>
      <c r="O261" s="66">
        <v>0</v>
      </c>
      <c r="P261" s="66">
        <v>0</v>
      </c>
      <c r="Q261" s="67">
        <f t="shared" si="205"/>
        <v>376778</v>
      </c>
      <c r="S261" s="68">
        <f t="shared" si="194"/>
        <v>219</v>
      </c>
      <c r="T261" s="67">
        <f t="shared" si="194"/>
        <v>0</v>
      </c>
      <c r="U261" s="67">
        <f t="shared" si="195"/>
        <v>0</v>
      </c>
      <c r="V261" s="67">
        <f t="shared" si="196"/>
        <v>0</v>
      </c>
      <c r="W261" s="67">
        <f t="shared" si="197"/>
        <v>0</v>
      </c>
      <c r="X261" s="67">
        <f t="shared" si="198"/>
        <v>0</v>
      </c>
      <c r="Y261" s="67">
        <f t="shared" si="199"/>
        <v>188279.5</v>
      </c>
      <c r="Z261" s="67">
        <f t="shared" si="200"/>
        <v>188498.5</v>
      </c>
      <c r="AA261" s="62"/>
      <c r="AB261" s="67">
        <f t="shared" si="201"/>
        <v>219</v>
      </c>
      <c r="AC261" s="67">
        <f t="shared" si="201"/>
        <v>0</v>
      </c>
      <c r="AD261" s="67">
        <f t="shared" si="201"/>
        <v>0</v>
      </c>
      <c r="AE261" s="67">
        <f t="shared" si="201"/>
        <v>0</v>
      </c>
      <c r="AF261" s="67">
        <f t="shared" si="201"/>
        <v>0</v>
      </c>
      <c r="AG261" s="67">
        <f t="shared" si="201"/>
        <v>0</v>
      </c>
      <c r="AH261" s="67">
        <f t="shared" si="202"/>
        <v>62759.833333333336</v>
      </c>
      <c r="AI261" s="67">
        <f t="shared" si="203"/>
        <v>62759.833333333336</v>
      </c>
      <c r="AJ261" s="67">
        <f t="shared" si="203"/>
        <v>62759.833333333336</v>
      </c>
      <c r="AK261" s="67"/>
      <c r="AL261" s="67"/>
      <c r="AM261" s="67"/>
      <c r="AN261" s="67">
        <f t="shared" si="204"/>
        <v>188498.5</v>
      </c>
    </row>
    <row r="262" spans="2:40" outlineLevel="2" x14ac:dyDescent="0.25">
      <c r="B262" s="63" t="s">
        <v>323</v>
      </c>
      <c r="C262" s="64">
        <v>901541302</v>
      </c>
      <c r="D262" s="65" t="s">
        <v>337</v>
      </c>
      <c r="E262" s="66">
        <v>19</v>
      </c>
      <c r="F262" s="66">
        <v>4406900</v>
      </c>
      <c r="G262" s="66">
        <v>7036687</v>
      </c>
      <c r="H262" s="66">
        <f t="shared" si="160"/>
        <v>11443587</v>
      </c>
      <c r="I262" s="66">
        <v>2407079</v>
      </c>
      <c r="J262" s="66">
        <v>0</v>
      </c>
      <c r="K262" s="66">
        <v>0</v>
      </c>
      <c r="L262" s="66">
        <v>0</v>
      </c>
      <c r="M262" s="66">
        <v>1902683</v>
      </c>
      <c r="N262" s="66">
        <v>20027463</v>
      </c>
      <c r="O262" s="66">
        <v>0</v>
      </c>
      <c r="P262" s="66">
        <v>0</v>
      </c>
      <c r="Q262" s="67">
        <f t="shared" si="205"/>
        <v>35780812</v>
      </c>
      <c r="S262" s="68">
        <f t="shared" si="194"/>
        <v>5721793.5</v>
      </c>
      <c r="T262" s="67">
        <f t="shared" si="194"/>
        <v>1203539.5</v>
      </c>
      <c r="U262" s="67">
        <f t="shared" si="195"/>
        <v>0</v>
      </c>
      <c r="V262" s="67">
        <f t="shared" si="196"/>
        <v>0</v>
      </c>
      <c r="W262" s="67">
        <f t="shared" si="197"/>
        <v>0</v>
      </c>
      <c r="X262" s="67">
        <f t="shared" si="198"/>
        <v>1427012.25</v>
      </c>
      <c r="Y262" s="67">
        <f t="shared" si="199"/>
        <v>13714233.375</v>
      </c>
      <c r="Z262" s="67">
        <f t="shared" si="200"/>
        <v>22066578.625</v>
      </c>
      <c r="AA262" s="62"/>
      <c r="AB262" s="67">
        <f t="shared" si="201"/>
        <v>5721793.5</v>
      </c>
      <c r="AC262" s="67">
        <f t="shared" si="201"/>
        <v>1203539.5</v>
      </c>
      <c r="AD262" s="67">
        <f t="shared" si="201"/>
        <v>0</v>
      </c>
      <c r="AE262" s="67">
        <f t="shared" si="201"/>
        <v>0</v>
      </c>
      <c r="AF262" s="67">
        <f t="shared" si="201"/>
        <v>0</v>
      </c>
      <c r="AG262" s="67">
        <f t="shared" si="201"/>
        <v>1427012.25</v>
      </c>
      <c r="AH262" s="67">
        <f t="shared" si="202"/>
        <v>4571411.125</v>
      </c>
      <c r="AI262" s="67">
        <f t="shared" si="203"/>
        <v>4571411.125</v>
      </c>
      <c r="AJ262" s="67">
        <f t="shared" si="203"/>
        <v>4571411.125</v>
      </c>
      <c r="AK262" s="67"/>
      <c r="AL262" s="67"/>
      <c r="AM262" s="67"/>
      <c r="AN262" s="67">
        <f t="shared" si="204"/>
        <v>22066578.625</v>
      </c>
    </row>
    <row r="263" spans="2:40" outlineLevel="2" x14ac:dyDescent="0.25">
      <c r="B263" s="63" t="s">
        <v>323</v>
      </c>
      <c r="C263" s="64">
        <v>901682277</v>
      </c>
      <c r="D263" s="65" t="s">
        <v>333</v>
      </c>
      <c r="E263" s="66">
        <v>84</v>
      </c>
      <c r="F263" s="66">
        <v>0</v>
      </c>
      <c r="G263" s="66">
        <v>901204</v>
      </c>
      <c r="H263" s="66">
        <f t="shared" si="160"/>
        <v>901204</v>
      </c>
      <c r="I263" s="66">
        <v>0</v>
      </c>
      <c r="J263" s="66">
        <v>0</v>
      </c>
      <c r="K263" s="66">
        <v>0</v>
      </c>
      <c r="L263" s="66">
        <v>0</v>
      </c>
      <c r="M263" s="66">
        <v>179156937</v>
      </c>
      <c r="N263" s="66">
        <v>351094268</v>
      </c>
      <c r="O263" s="66">
        <v>0</v>
      </c>
      <c r="P263" s="66">
        <v>0</v>
      </c>
      <c r="Q263" s="67">
        <f t="shared" si="205"/>
        <v>531152409</v>
      </c>
      <c r="S263" s="68">
        <f t="shared" si="194"/>
        <v>450602</v>
      </c>
      <c r="T263" s="67">
        <f t="shared" si="194"/>
        <v>0</v>
      </c>
      <c r="U263" s="67">
        <f t="shared" si="195"/>
        <v>0</v>
      </c>
      <c r="V263" s="67">
        <f t="shared" si="196"/>
        <v>0</v>
      </c>
      <c r="W263" s="67">
        <f t="shared" si="197"/>
        <v>0</v>
      </c>
      <c r="X263" s="67">
        <f t="shared" si="198"/>
        <v>134367702.75</v>
      </c>
      <c r="Y263" s="67">
        <f t="shared" si="199"/>
        <v>198167052.125</v>
      </c>
      <c r="Z263" s="67">
        <f t="shared" si="200"/>
        <v>332985356.875</v>
      </c>
      <c r="AA263" s="62"/>
      <c r="AB263" s="67">
        <f t="shared" si="201"/>
        <v>450602</v>
      </c>
      <c r="AC263" s="67">
        <f t="shared" si="201"/>
        <v>0</v>
      </c>
      <c r="AD263" s="67">
        <f t="shared" si="201"/>
        <v>0</v>
      </c>
      <c r="AE263" s="67">
        <f t="shared" si="201"/>
        <v>0</v>
      </c>
      <c r="AF263" s="67">
        <f t="shared" si="201"/>
        <v>0</v>
      </c>
      <c r="AG263" s="67">
        <f t="shared" si="201"/>
        <v>134367702.75</v>
      </c>
      <c r="AH263" s="67">
        <f t="shared" si="202"/>
        <v>66055684.041666664</v>
      </c>
      <c r="AI263" s="67">
        <f t="shared" si="203"/>
        <v>66055684.041666664</v>
      </c>
      <c r="AJ263" s="67">
        <f t="shared" si="203"/>
        <v>66055684.041666664</v>
      </c>
      <c r="AK263" s="67"/>
      <c r="AL263" s="67"/>
      <c r="AM263" s="67"/>
      <c r="AN263" s="67">
        <f t="shared" si="204"/>
        <v>332985356.875</v>
      </c>
    </row>
    <row r="264" spans="2:40" outlineLevel="2" x14ac:dyDescent="0.25">
      <c r="B264" s="63" t="s">
        <v>323</v>
      </c>
      <c r="C264" s="64">
        <v>901855730</v>
      </c>
      <c r="D264" s="65" t="s">
        <v>338</v>
      </c>
      <c r="E264" s="66">
        <v>18</v>
      </c>
      <c r="F264" s="66">
        <v>7821530</v>
      </c>
      <c r="G264" s="66">
        <v>129336436</v>
      </c>
      <c r="H264" s="66">
        <f t="shared" si="160"/>
        <v>137157966</v>
      </c>
      <c r="I264" s="66">
        <v>16737588</v>
      </c>
      <c r="J264" s="66">
        <v>0</v>
      </c>
      <c r="K264" s="66">
        <v>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67">
        <f t="shared" si="205"/>
        <v>153895554</v>
      </c>
      <c r="S264" s="68">
        <f t="shared" si="194"/>
        <v>68578983</v>
      </c>
      <c r="T264" s="67">
        <f t="shared" si="194"/>
        <v>8368794</v>
      </c>
      <c r="U264" s="67">
        <f t="shared" si="195"/>
        <v>0</v>
      </c>
      <c r="V264" s="67">
        <f t="shared" si="196"/>
        <v>0</v>
      </c>
      <c r="W264" s="67">
        <f t="shared" si="197"/>
        <v>0</v>
      </c>
      <c r="X264" s="67">
        <f t="shared" si="198"/>
        <v>0</v>
      </c>
      <c r="Y264" s="67">
        <f t="shared" si="199"/>
        <v>38473888.5</v>
      </c>
      <c r="Z264" s="67">
        <f t="shared" si="200"/>
        <v>115421665.5</v>
      </c>
      <c r="AA264" s="62"/>
      <c r="AB264" s="67">
        <f t="shared" si="201"/>
        <v>68578983</v>
      </c>
      <c r="AC264" s="67">
        <f t="shared" si="201"/>
        <v>8368794</v>
      </c>
      <c r="AD264" s="67">
        <f t="shared" si="201"/>
        <v>0</v>
      </c>
      <c r="AE264" s="67">
        <f t="shared" si="201"/>
        <v>0</v>
      </c>
      <c r="AF264" s="67">
        <f t="shared" si="201"/>
        <v>0</v>
      </c>
      <c r="AG264" s="67">
        <f t="shared" si="201"/>
        <v>0</v>
      </c>
      <c r="AH264" s="67">
        <f t="shared" si="202"/>
        <v>12824629.5</v>
      </c>
      <c r="AI264" s="67">
        <f t="shared" ref="AI264:AJ265" si="206">+AH264</f>
        <v>12824629.5</v>
      </c>
      <c r="AJ264" s="67">
        <f t="shared" si="206"/>
        <v>12824629.5</v>
      </c>
      <c r="AK264" s="67"/>
      <c r="AL264" s="67"/>
      <c r="AM264" s="67"/>
      <c r="AN264" s="67">
        <f t="shared" si="204"/>
        <v>115421665.5</v>
      </c>
    </row>
    <row r="265" spans="2:40" ht="12" outlineLevel="2" thickBot="1" x14ac:dyDescent="0.3">
      <c r="B265" s="63" t="s">
        <v>323</v>
      </c>
      <c r="C265" s="64">
        <v>901361596</v>
      </c>
      <c r="D265" s="65" t="s">
        <v>339</v>
      </c>
      <c r="E265" s="66">
        <v>0</v>
      </c>
      <c r="F265" s="66">
        <v>286136.31</v>
      </c>
      <c r="G265" s="66">
        <v>0</v>
      </c>
      <c r="H265" s="66">
        <f t="shared" si="160"/>
        <v>286136.31</v>
      </c>
      <c r="I265" s="66">
        <v>0</v>
      </c>
      <c r="J265" s="66">
        <v>0</v>
      </c>
      <c r="K265" s="66">
        <v>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67">
        <f t="shared" si="205"/>
        <v>286136.31</v>
      </c>
      <c r="S265" s="68">
        <f t="shared" si="194"/>
        <v>143068.155</v>
      </c>
      <c r="T265" s="67">
        <f t="shared" si="194"/>
        <v>0</v>
      </c>
      <c r="U265" s="67">
        <f t="shared" si="195"/>
        <v>0</v>
      </c>
      <c r="V265" s="67">
        <f t="shared" si="196"/>
        <v>0</v>
      </c>
      <c r="W265" s="67">
        <f t="shared" si="197"/>
        <v>0</v>
      </c>
      <c r="X265" s="67">
        <f t="shared" si="198"/>
        <v>0</v>
      </c>
      <c r="Y265" s="67">
        <f t="shared" si="199"/>
        <v>71534.077499999999</v>
      </c>
      <c r="Z265" s="67">
        <f t="shared" si="200"/>
        <v>214602.23249999998</v>
      </c>
      <c r="AA265" s="62"/>
      <c r="AB265" s="67">
        <f t="shared" si="201"/>
        <v>143068.155</v>
      </c>
      <c r="AC265" s="67">
        <f t="shared" si="201"/>
        <v>0</v>
      </c>
      <c r="AD265" s="67">
        <f t="shared" si="201"/>
        <v>0</v>
      </c>
      <c r="AE265" s="67">
        <f t="shared" si="201"/>
        <v>0</v>
      </c>
      <c r="AF265" s="67">
        <f t="shared" si="201"/>
        <v>0</v>
      </c>
      <c r="AG265" s="67">
        <f t="shared" si="201"/>
        <v>0</v>
      </c>
      <c r="AH265" s="67">
        <f t="shared" si="202"/>
        <v>23844.692500000001</v>
      </c>
      <c r="AI265" s="67">
        <f t="shared" si="206"/>
        <v>23844.692500000001</v>
      </c>
      <c r="AJ265" s="67">
        <f t="shared" si="206"/>
        <v>23844.692500000001</v>
      </c>
      <c r="AK265" s="67"/>
      <c r="AL265" s="67"/>
      <c r="AM265" s="67"/>
      <c r="AN265" s="67">
        <f t="shared" si="204"/>
        <v>214602.23250000001</v>
      </c>
    </row>
    <row r="266" spans="2:40" ht="12" outlineLevel="1" thickBot="1" x14ac:dyDescent="0.3">
      <c r="B266" s="75" t="s">
        <v>340</v>
      </c>
      <c r="C266" s="76"/>
      <c r="D266" s="76"/>
      <c r="E266" s="77">
        <f t="shared" ref="E266:Z266" si="207">SUBTOTAL(9,E248:E265)</f>
        <v>2393</v>
      </c>
      <c r="F266" s="77">
        <f t="shared" si="207"/>
        <v>118874462.55</v>
      </c>
      <c r="G266" s="77">
        <f t="shared" si="207"/>
        <v>286888596</v>
      </c>
      <c r="H266" s="77">
        <f t="shared" si="207"/>
        <v>405763058.55000001</v>
      </c>
      <c r="I266" s="77">
        <f t="shared" si="207"/>
        <v>74712473</v>
      </c>
      <c r="J266" s="77">
        <f t="shared" si="207"/>
        <v>119283953</v>
      </c>
      <c r="K266" s="77">
        <f t="shared" si="207"/>
        <v>81357552</v>
      </c>
      <c r="L266" s="77">
        <f t="shared" si="207"/>
        <v>785327359</v>
      </c>
      <c r="M266" s="77">
        <f t="shared" si="207"/>
        <v>518728783</v>
      </c>
      <c r="N266" s="77">
        <f t="shared" si="207"/>
        <v>2671210108.48</v>
      </c>
      <c r="O266" s="77">
        <f t="shared" si="207"/>
        <v>0</v>
      </c>
      <c r="P266" s="77">
        <f t="shared" si="207"/>
        <v>-535403590.80000001</v>
      </c>
      <c r="Q266" s="78">
        <f t="shared" si="207"/>
        <v>4120979696.23</v>
      </c>
      <c r="S266" s="79">
        <f t="shared" si="207"/>
        <v>202881529.27500001</v>
      </c>
      <c r="T266" s="78">
        <f t="shared" si="207"/>
        <v>37356236.5</v>
      </c>
      <c r="U266" s="78">
        <f t="shared" si="207"/>
        <v>71570371.799999997</v>
      </c>
      <c r="V266" s="78">
        <f t="shared" si="207"/>
        <v>56950286.399999999</v>
      </c>
      <c r="W266" s="78">
        <f t="shared" si="207"/>
        <v>538892512.24999988</v>
      </c>
      <c r="X266" s="78">
        <f t="shared" si="207"/>
        <v>158700718.5</v>
      </c>
      <c r="Y266" s="78">
        <f t="shared" si="207"/>
        <v>1527314020.7525001</v>
      </c>
      <c r="Z266" s="78">
        <f t="shared" si="207"/>
        <v>2593665675.4775</v>
      </c>
      <c r="AA266" s="62"/>
      <c r="AB266" s="78">
        <f t="shared" ref="AB266:AN266" si="208">SUBTOTAL(9,AB248:AB265)</f>
        <v>202881529.27500001</v>
      </c>
      <c r="AC266" s="78">
        <f t="shared" si="208"/>
        <v>37356236.5</v>
      </c>
      <c r="AD266" s="78">
        <f t="shared" si="208"/>
        <v>71570371.799999997</v>
      </c>
      <c r="AE266" s="78">
        <f t="shared" si="208"/>
        <v>56950286.399999999</v>
      </c>
      <c r="AF266" s="78">
        <f t="shared" si="208"/>
        <v>538892512.24999988</v>
      </c>
      <c r="AG266" s="78">
        <f t="shared" si="208"/>
        <v>158700718.5</v>
      </c>
      <c r="AH266" s="78">
        <f t="shared" si="208"/>
        <v>509104673.58416665</v>
      </c>
      <c r="AI266" s="78">
        <f t="shared" si="208"/>
        <v>509104673.58416665</v>
      </c>
      <c r="AJ266" s="78">
        <f t="shared" si="208"/>
        <v>509104673.58416665</v>
      </c>
      <c r="AK266" s="78">
        <f t="shared" si="208"/>
        <v>0</v>
      </c>
      <c r="AL266" s="78">
        <f t="shared" si="208"/>
        <v>0</v>
      </c>
      <c r="AM266" s="78">
        <f t="shared" si="208"/>
        <v>0</v>
      </c>
      <c r="AN266" s="78">
        <f t="shared" si="208"/>
        <v>2593665675.4775</v>
      </c>
    </row>
    <row r="267" spans="2:40" ht="12" outlineLevel="2" thickBot="1" x14ac:dyDescent="0.3">
      <c r="B267" s="63" t="s">
        <v>341</v>
      </c>
      <c r="C267" s="64">
        <v>800246953</v>
      </c>
      <c r="D267" s="65" t="s">
        <v>170</v>
      </c>
      <c r="E267" s="66">
        <v>42</v>
      </c>
      <c r="F267" s="66">
        <v>0</v>
      </c>
      <c r="G267" s="66">
        <v>0</v>
      </c>
      <c r="H267" s="66">
        <f t="shared" si="160"/>
        <v>0</v>
      </c>
      <c r="I267" s="66">
        <v>477436278</v>
      </c>
      <c r="J267" s="66">
        <v>482341232</v>
      </c>
      <c r="K267" s="66">
        <v>422645185</v>
      </c>
      <c r="L267" s="66">
        <v>728355598</v>
      </c>
      <c r="M267" s="66">
        <v>902769946</v>
      </c>
      <c r="N267" s="66">
        <v>483982586</v>
      </c>
      <c r="O267" s="66">
        <v>0</v>
      </c>
      <c r="P267" s="66">
        <v>0</v>
      </c>
      <c r="Q267" s="67">
        <f t="shared" si="205"/>
        <v>3497530825</v>
      </c>
      <c r="S267" s="68">
        <f>+H267*50%</f>
        <v>0</v>
      </c>
      <c r="T267" s="67">
        <f t="shared" ref="T267:Y267" si="209">+I267*50%</f>
        <v>238718139</v>
      </c>
      <c r="U267" s="67">
        <f t="shared" si="209"/>
        <v>241170616</v>
      </c>
      <c r="V267" s="67">
        <f t="shared" si="209"/>
        <v>211322592.5</v>
      </c>
      <c r="W267" s="67">
        <f t="shared" si="209"/>
        <v>364177799</v>
      </c>
      <c r="X267" s="67">
        <f t="shared" si="209"/>
        <v>451384973</v>
      </c>
      <c r="Y267" s="67">
        <f t="shared" si="209"/>
        <v>241991293</v>
      </c>
      <c r="Z267" s="67">
        <f t="shared" ref="Z267" si="210">+SUM(S267:Y267)</f>
        <v>1748765412.5</v>
      </c>
      <c r="AA267" s="62"/>
      <c r="AB267" s="67">
        <f>+S267</f>
        <v>0</v>
      </c>
      <c r="AC267" s="67">
        <f>+T267</f>
        <v>238718139</v>
      </c>
      <c r="AD267" s="67">
        <f>+U267</f>
        <v>241170616</v>
      </c>
      <c r="AE267" s="67">
        <f>+V267</f>
        <v>211322592.5</v>
      </c>
      <c r="AF267" s="67">
        <f t="shared" ref="AF267:AG267" si="211">+W267</f>
        <v>364177799</v>
      </c>
      <c r="AG267" s="67">
        <f t="shared" si="211"/>
        <v>451384973</v>
      </c>
      <c r="AH267" s="67">
        <f>+Y267/3</f>
        <v>80663764.333333328</v>
      </c>
      <c r="AI267" s="67">
        <f>+AH267</f>
        <v>80663764.333333328</v>
      </c>
      <c r="AJ267" s="67">
        <f>+AI267</f>
        <v>80663764.333333328</v>
      </c>
      <c r="AK267" s="67"/>
      <c r="AL267" s="67"/>
      <c r="AM267" s="67"/>
      <c r="AN267" s="67">
        <f>+SUM(AB267:AM267)</f>
        <v>1748765412.4999998</v>
      </c>
    </row>
    <row r="268" spans="2:40" ht="12" outlineLevel="1" thickBot="1" x14ac:dyDescent="0.3">
      <c r="B268" s="75" t="s">
        <v>342</v>
      </c>
      <c r="C268" s="76"/>
      <c r="D268" s="76"/>
      <c r="E268" s="77">
        <f t="shared" ref="E268:Z268" si="212">SUBTOTAL(9,E267:E267)</f>
        <v>42</v>
      </c>
      <c r="F268" s="77">
        <f t="shared" si="212"/>
        <v>0</v>
      </c>
      <c r="G268" s="77">
        <f t="shared" si="212"/>
        <v>0</v>
      </c>
      <c r="H268" s="77">
        <f t="shared" si="212"/>
        <v>0</v>
      </c>
      <c r="I268" s="77">
        <f t="shared" si="212"/>
        <v>477436278</v>
      </c>
      <c r="J268" s="77">
        <f t="shared" si="212"/>
        <v>482341232</v>
      </c>
      <c r="K268" s="77">
        <f t="shared" si="212"/>
        <v>422645185</v>
      </c>
      <c r="L268" s="77">
        <f t="shared" si="212"/>
        <v>728355598</v>
      </c>
      <c r="M268" s="77">
        <f t="shared" si="212"/>
        <v>902769946</v>
      </c>
      <c r="N268" s="77">
        <f t="shared" si="212"/>
        <v>483982586</v>
      </c>
      <c r="O268" s="77">
        <f t="shared" si="212"/>
        <v>0</v>
      </c>
      <c r="P268" s="77">
        <f t="shared" si="212"/>
        <v>0</v>
      </c>
      <c r="Q268" s="78">
        <f t="shared" si="212"/>
        <v>3497530825</v>
      </c>
      <c r="S268" s="79">
        <f t="shared" si="212"/>
        <v>0</v>
      </c>
      <c r="T268" s="78">
        <f t="shared" si="212"/>
        <v>238718139</v>
      </c>
      <c r="U268" s="78">
        <f t="shared" si="212"/>
        <v>241170616</v>
      </c>
      <c r="V268" s="78">
        <f t="shared" si="212"/>
        <v>211322592.5</v>
      </c>
      <c r="W268" s="78">
        <f t="shared" si="212"/>
        <v>364177799</v>
      </c>
      <c r="X268" s="78">
        <f t="shared" si="212"/>
        <v>451384973</v>
      </c>
      <c r="Y268" s="78">
        <f t="shared" si="212"/>
        <v>241991293</v>
      </c>
      <c r="Z268" s="78">
        <f t="shared" si="212"/>
        <v>1748765412.5</v>
      </c>
      <c r="AA268" s="62"/>
      <c r="AB268" s="78">
        <f t="shared" ref="AB268:AN268" si="213">SUBTOTAL(9,AB267:AB267)</f>
        <v>0</v>
      </c>
      <c r="AC268" s="78">
        <f t="shared" si="213"/>
        <v>238718139</v>
      </c>
      <c r="AD268" s="78">
        <f t="shared" si="213"/>
        <v>241170616</v>
      </c>
      <c r="AE268" s="78">
        <f t="shared" si="213"/>
        <v>211322592.5</v>
      </c>
      <c r="AF268" s="78">
        <f t="shared" si="213"/>
        <v>364177799</v>
      </c>
      <c r="AG268" s="78">
        <f t="shared" si="213"/>
        <v>451384973</v>
      </c>
      <c r="AH268" s="78">
        <f t="shared" si="213"/>
        <v>80663764.333333328</v>
      </c>
      <c r="AI268" s="78">
        <f t="shared" si="213"/>
        <v>80663764.333333328</v>
      </c>
      <c r="AJ268" s="78">
        <f t="shared" si="213"/>
        <v>80663764.333333328</v>
      </c>
      <c r="AK268" s="78">
        <f t="shared" si="213"/>
        <v>0</v>
      </c>
      <c r="AL268" s="78">
        <f t="shared" si="213"/>
        <v>0</v>
      </c>
      <c r="AM268" s="78">
        <f t="shared" si="213"/>
        <v>0</v>
      </c>
      <c r="AN268" s="78">
        <f t="shared" si="213"/>
        <v>1748765412.4999998</v>
      </c>
    </row>
    <row r="269" spans="2:40" outlineLevel="2" x14ac:dyDescent="0.25">
      <c r="B269" s="63" t="s">
        <v>343</v>
      </c>
      <c r="C269" s="64">
        <v>800088702</v>
      </c>
      <c r="D269" s="65" t="s">
        <v>124</v>
      </c>
      <c r="E269" s="66">
        <v>972</v>
      </c>
      <c r="F269" s="66">
        <v>1656357</v>
      </c>
      <c r="G269" s="66">
        <v>171615828</v>
      </c>
      <c r="H269" s="66">
        <f t="shared" si="160"/>
        <v>173272185</v>
      </c>
      <c r="I269" s="66">
        <v>105500415</v>
      </c>
      <c r="J269" s="66">
        <v>292797124</v>
      </c>
      <c r="K269" s="66">
        <v>69879723</v>
      </c>
      <c r="L269" s="66">
        <v>76449668</v>
      </c>
      <c r="M269" s="66">
        <v>142538277</v>
      </c>
      <c r="N269" s="66">
        <v>90657942</v>
      </c>
      <c r="O269" s="66">
        <v>0</v>
      </c>
      <c r="P269" s="66">
        <v>0</v>
      </c>
      <c r="Q269" s="67">
        <f t="shared" si="205"/>
        <v>951095334</v>
      </c>
      <c r="S269" s="68">
        <f t="shared" ref="S269:T300" si="214">+H269*50%</f>
        <v>86636092.5</v>
      </c>
      <c r="T269" s="67">
        <f t="shared" si="214"/>
        <v>52750207.5</v>
      </c>
      <c r="U269" s="67">
        <f t="shared" ref="U269:U300" si="215">+J269*60%</f>
        <v>175678274.40000001</v>
      </c>
      <c r="V269" s="67">
        <f t="shared" ref="V269:V300" si="216">+K269*70%</f>
        <v>48915806.099999994</v>
      </c>
      <c r="W269" s="67">
        <f t="shared" ref="W269:W300" si="217">+L269*0.7</f>
        <v>53514767.599999994</v>
      </c>
      <c r="X269" s="67">
        <f t="shared" ref="X269:X300" si="218">+M269*0.75</f>
        <v>106903707.75</v>
      </c>
      <c r="Y269" s="67">
        <f t="shared" ref="Y269:Y300" si="219">(Q269-S269-T269-U269-V269-W269-X269)*50%</f>
        <v>213348239.07499999</v>
      </c>
      <c r="Z269" s="67">
        <f t="shared" ref="Z269:Z300" si="220">+SUM(S269:Y269)</f>
        <v>737747094.92499995</v>
      </c>
      <c r="AA269" s="62"/>
      <c r="AB269" s="67">
        <f t="shared" ref="AB269:AG300" si="221">+S269</f>
        <v>86636092.5</v>
      </c>
      <c r="AC269" s="67">
        <f t="shared" si="221"/>
        <v>52750207.5</v>
      </c>
      <c r="AD269" s="67">
        <f t="shared" si="221"/>
        <v>175678274.40000001</v>
      </c>
      <c r="AE269" s="67">
        <f t="shared" si="221"/>
        <v>48915806.099999994</v>
      </c>
      <c r="AF269" s="67">
        <f t="shared" si="221"/>
        <v>53514767.599999994</v>
      </c>
      <c r="AG269" s="67">
        <f t="shared" si="221"/>
        <v>106903707.75</v>
      </c>
      <c r="AH269" s="67">
        <f t="shared" ref="AH269:AH300" si="222">+Y269/3</f>
        <v>71116079.691666663</v>
      </c>
      <c r="AI269" s="67">
        <f t="shared" ref="AI269:AJ284" si="223">+AH269</f>
        <v>71116079.691666663</v>
      </c>
      <c r="AJ269" s="67">
        <f t="shared" si="223"/>
        <v>71116079.691666663</v>
      </c>
      <c r="AK269" s="67"/>
      <c r="AL269" s="67"/>
      <c r="AM269" s="67"/>
      <c r="AN269" s="67">
        <f t="shared" ref="AN269:AN300" si="224">+SUM(AB269:AM269)</f>
        <v>737747094.92499995</v>
      </c>
    </row>
    <row r="270" spans="2:40" outlineLevel="2" x14ac:dyDescent="0.25">
      <c r="B270" s="63" t="s">
        <v>343</v>
      </c>
      <c r="C270" s="64">
        <v>800130907</v>
      </c>
      <c r="D270" s="65" t="s">
        <v>126</v>
      </c>
      <c r="E270" s="66">
        <v>2277</v>
      </c>
      <c r="F270" s="66">
        <v>53776415.649999999</v>
      </c>
      <c r="G270" s="66">
        <v>329368496</v>
      </c>
      <c r="H270" s="66">
        <f t="shared" si="160"/>
        <v>383144911.64999998</v>
      </c>
      <c r="I270" s="66">
        <v>632551253</v>
      </c>
      <c r="J270" s="66">
        <v>354642182</v>
      </c>
      <c r="K270" s="66">
        <v>71947860</v>
      </c>
      <c r="L270" s="66">
        <v>379945209</v>
      </c>
      <c r="M270" s="66">
        <v>252292404</v>
      </c>
      <c r="N270" s="66">
        <v>70995613.299999997</v>
      </c>
      <c r="O270" s="66">
        <v>0</v>
      </c>
      <c r="P270" s="66">
        <v>0</v>
      </c>
      <c r="Q270" s="67">
        <f t="shared" si="205"/>
        <v>2145519432.95</v>
      </c>
      <c r="S270" s="68">
        <f t="shared" si="214"/>
        <v>191572455.82499999</v>
      </c>
      <c r="T270" s="67">
        <f t="shared" si="214"/>
        <v>316275626.5</v>
      </c>
      <c r="U270" s="67">
        <f t="shared" si="215"/>
        <v>212785309.19999999</v>
      </c>
      <c r="V270" s="67">
        <f t="shared" si="216"/>
        <v>50363502</v>
      </c>
      <c r="W270" s="67">
        <f t="shared" si="217"/>
        <v>265961646.29999998</v>
      </c>
      <c r="X270" s="67">
        <f t="shared" si="218"/>
        <v>189219303</v>
      </c>
      <c r="Y270" s="67">
        <f>(Q270-S270-T270-U270-V270-W270-X270)*10%</f>
        <v>91934159.012500003</v>
      </c>
      <c r="Z270" s="67">
        <f t="shared" si="220"/>
        <v>1318112001.8374999</v>
      </c>
      <c r="AA270" s="62"/>
      <c r="AB270" s="67">
        <f t="shared" si="221"/>
        <v>191572455.82499999</v>
      </c>
      <c r="AC270" s="67">
        <f t="shared" si="221"/>
        <v>316275626.5</v>
      </c>
      <c r="AD270" s="67">
        <f t="shared" si="221"/>
        <v>212785309.19999999</v>
      </c>
      <c r="AE270" s="67">
        <f t="shared" si="221"/>
        <v>50363502</v>
      </c>
      <c r="AF270" s="67">
        <f t="shared" si="221"/>
        <v>265961646.29999998</v>
      </c>
      <c r="AG270" s="67">
        <f t="shared" si="221"/>
        <v>189219303</v>
      </c>
      <c r="AH270" s="67">
        <f t="shared" si="222"/>
        <v>30644719.670833334</v>
      </c>
      <c r="AI270" s="67">
        <f t="shared" si="223"/>
        <v>30644719.670833334</v>
      </c>
      <c r="AJ270" s="67">
        <f t="shared" si="223"/>
        <v>30644719.670833334</v>
      </c>
      <c r="AK270" s="67"/>
      <c r="AL270" s="67"/>
      <c r="AM270" s="67"/>
      <c r="AN270" s="67">
        <f t="shared" si="224"/>
        <v>1318112001.8374999</v>
      </c>
    </row>
    <row r="271" spans="2:40" outlineLevel="2" x14ac:dyDescent="0.25">
      <c r="B271" s="63" t="s">
        <v>343</v>
      </c>
      <c r="C271" s="64">
        <v>800249241</v>
      </c>
      <c r="D271" s="65" t="s">
        <v>127</v>
      </c>
      <c r="E271" s="66">
        <v>121</v>
      </c>
      <c r="F271" s="66">
        <v>0</v>
      </c>
      <c r="G271" s="66">
        <v>0</v>
      </c>
      <c r="H271" s="66">
        <f t="shared" si="160"/>
        <v>0</v>
      </c>
      <c r="I271" s="66">
        <v>0</v>
      </c>
      <c r="J271" s="66">
        <v>0</v>
      </c>
      <c r="K271" s="66">
        <v>0</v>
      </c>
      <c r="L271" s="66">
        <v>0</v>
      </c>
      <c r="M271" s="66">
        <v>0</v>
      </c>
      <c r="N271" s="66">
        <v>257560078.69999999</v>
      </c>
      <c r="O271" s="66">
        <v>0</v>
      </c>
      <c r="P271" s="66">
        <v>0</v>
      </c>
      <c r="Q271" s="67">
        <f t="shared" si="205"/>
        <v>257560078.69999999</v>
      </c>
      <c r="S271" s="68">
        <f t="shared" si="214"/>
        <v>0</v>
      </c>
      <c r="T271" s="67">
        <f t="shared" si="214"/>
        <v>0</v>
      </c>
      <c r="U271" s="67">
        <f t="shared" si="215"/>
        <v>0</v>
      </c>
      <c r="V271" s="67">
        <f t="shared" si="216"/>
        <v>0</v>
      </c>
      <c r="W271" s="67">
        <f t="shared" si="217"/>
        <v>0</v>
      </c>
      <c r="X271" s="67">
        <f t="shared" si="218"/>
        <v>0</v>
      </c>
      <c r="Y271" s="67">
        <f t="shared" si="219"/>
        <v>128780039.34999999</v>
      </c>
      <c r="Z271" s="67">
        <f t="shared" si="220"/>
        <v>128780039.34999999</v>
      </c>
      <c r="AA271" s="62"/>
      <c r="AB271" s="67">
        <f t="shared" si="221"/>
        <v>0</v>
      </c>
      <c r="AC271" s="67">
        <f t="shared" si="221"/>
        <v>0</v>
      </c>
      <c r="AD271" s="67">
        <f t="shared" si="221"/>
        <v>0</v>
      </c>
      <c r="AE271" s="67">
        <f t="shared" si="221"/>
        <v>0</v>
      </c>
      <c r="AF271" s="67">
        <f t="shared" si="221"/>
        <v>0</v>
      </c>
      <c r="AG271" s="67">
        <f t="shared" si="221"/>
        <v>0</v>
      </c>
      <c r="AH271" s="67">
        <f t="shared" si="222"/>
        <v>42926679.783333331</v>
      </c>
      <c r="AI271" s="67">
        <f t="shared" si="223"/>
        <v>42926679.783333331</v>
      </c>
      <c r="AJ271" s="67">
        <f t="shared" si="223"/>
        <v>42926679.783333331</v>
      </c>
      <c r="AK271" s="67"/>
      <c r="AL271" s="67"/>
      <c r="AM271" s="67"/>
      <c r="AN271" s="67">
        <f t="shared" si="224"/>
        <v>128780039.34999999</v>
      </c>
    </row>
    <row r="272" spans="2:40" outlineLevel="2" x14ac:dyDescent="0.25">
      <c r="B272" s="63" t="s">
        <v>343</v>
      </c>
      <c r="C272" s="64">
        <v>800251440</v>
      </c>
      <c r="D272" s="65" t="s">
        <v>119</v>
      </c>
      <c r="E272" s="66">
        <v>1413</v>
      </c>
      <c r="F272" s="66">
        <v>139656855.19</v>
      </c>
      <c r="G272" s="66">
        <v>218083761</v>
      </c>
      <c r="H272" s="66">
        <f t="shared" si="160"/>
        <v>357740616.19</v>
      </c>
      <c r="I272" s="66">
        <v>338801411</v>
      </c>
      <c r="J272" s="66">
        <v>404659964</v>
      </c>
      <c r="K272" s="66">
        <v>306091484</v>
      </c>
      <c r="L272" s="66">
        <v>912649043</v>
      </c>
      <c r="M272" s="66">
        <v>8832626</v>
      </c>
      <c r="N272" s="66">
        <v>9848865</v>
      </c>
      <c r="O272" s="66">
        <v>-1228335072</v>
      </c>
      <c r="P272" s="66">
        <v>0</v>
      </c>
      <c r="Q272" s="67">
        <f t="shared" si="205"/>
        <v>1110288937.1900001</v>
      </c>
      <c r="S272" s="68">
        <f t="shared" si="214"/>
        <v>178870308.095</v>
      </c>
      <c r="T272" s="67">
        <f t="shared" si="214"/>
        <v>169400705.5</v>
      </c>
      <c r="U272" s="67">
        <f t="shared" si="215"/>
        <v>242795978.39999998</v>
      </c>
      <c r="V272" s="67">
        <f t="shared" si="216"/>
        <v>214264038.79999998</v>
      </c>
      <c r="W272" s="67">
        <v>304957906</v>
      </c>
      <c r="X272" s="67">
        <v>0</v>
      </c>
      <c r="Y272" s="67">
        <v>0</v>
      </c>
      <c r="Z272" s="67">
        <f t="shared" si="220"/>
        <v>1110288936.7950001</v>
      </c>
      <c r="AA272" s="62"/>
      <c r="AB272" s="67">
        <f t="shared" si="221"/>
        <v>178870308.095</v>
      </c>
      <c r="AC272" s="67">
        <f t="shared" si="221"/>
        <v>169400705.5</v>
      </c>
      <c r="AD272" s="67">
        <f t="shared" si="221"/>
        <v>242795978.39999998</v>
      </c>
      <c r="AE272" s="67">
        <f t="shared" si="221"/>
        <v>214264038.79999998</v>
      </c>
      <c r="AF272" s="67">
        <f t="shared" si="221"/>
        <v>304957906</v>
      </c>
      <c r="AG272" s="67">
        <f t="shared" si="221"/>
        <v>0</v>
      </c>
      <c r="AH272" s="67">
        <f t="shared" si="222"/>
        <v>0</v>
      </c>
      <c r="AI272" s="67">
        <f t="shared" si="223"/>
        <v>0</v>
      </c>
      <c r="AJ272" s="67">
        <f t="shared" si="223"/>
        <v>0</v>
      </c>
      <c r="AK272" s="67"/>
      <c r="AL272" s="67"/>
      <c r="AM272" s="67"/>
      <c r="AN272" s="67">
        <f t="shared" si="224"/>
        <v>1110288936.7950001</v>
      </c>
    </row>
    <row r="273" spans="2:40" outlineLevel="2" x14ac:dyDescent="0.25">
      <c r="B273" s="63" t="s">
        <v>343</v>
      </c>
      <c r="C273" s="64">
        <v>805001157</v>
      </c>
      <c r="D273" s="65" t="s">
        <v>128</v>
      </c>
      <c r="E273" s="66">
        <v>13</v>
      </c>
      <c r="F273" s="66">
        <v>0</v>
      </c>
      <c r="G273" s="66">
        <v>290100</v>
      </c>
      <c r="H273" s="66">
        <f t="shared" si="160"/>
        <v>290100</v>
      </c>
      <c r="I273" s="66">
        <v>0</v>
      </c>
      <c r="J273" s="66">
        <v>0</v>
      </c>
      <c r="K273" s="66">
        <v>420949</v>
      </c>
      <c r="L273" s="66">
        <v>13583184</v>
      </c>
      <c r="M273" s="66">
        <v>918548</v>
      </c>
      <c r="N273" s="66">
        <v>385519</v>
      </c>
      <c r="O273" s="66">
        <v>0</v>
      </c>
      <c r="P273" s="66">
        <v>0</v>
      </c>
      <c r="Q273" s="67">
        <f t="shared" si="205"/>
        <v>15598300</v>
      </c>
      <c r="S273" s="68">
        <f t="shared" si="214"/>
        <v>145050</v>
      </c>
      <c r="T273" s="67">
        <f t="shared" si="214"/>
        <v>0</v>
      </c>
      <c r="U273" s="67">
        <f t="shared" si="215"/>
        <v>0</v>
      </c>
      <c r="V273" s="67">
        <f t="shared" si="216"/>
        <v>294664.3</v>
      </c>
      <c r="W273" s="67">
        <f t="shared" si="217"/>
        <v>9508228.7999999989</v>
      </c>
      <c r="X273" s="67">
        <f t="shared" si="218"/>
        <v>688911</v>
      </c>
      <c r="Y273" s="67">
        <f t="shared" si="219"/>
        <v>2480722.9500000002</v>
      </c>
      <c r="Z273" s="67">
        <f t="shared" si="220"/>
        <v>13117577.050000001</v>
      </c>
      <c r="AA273" s="62"/>
      <c r="AB273" s="67">
        <f t="shared" si="221"/>
        <v>145050</v>
      </c>
      <c r="AC273" s="67">
        <f t="shared" si="221"/>
        <v>0</v>
      </c>
      <c r="AD273" s="67">
        <f t="shared" si="221"/>
        <v>0</v>
      </c>
      <c r="AE273" s="67">
        <f t="shared" si="221"/>
        <v>294664.3</v>
      </c>
      <c r="AF273" s="67">
        <f t="shared" si="221"/>
        <v>9508228.7999999989</v>
      </c>
      <c r="AG273" s="67">
        <f t="shared" si="221"/>
        <v>688911</v>
      </c>
      <c r="AH273" s="67">
        <f t="shared" si="222"/>
        <v>826907.65</v>
      </c>
      <c r="AI273" s="67">
        <f t="shared" si="223"/>
        <v>826907.65</v>
      </c>
      <c r="AJ273" s="67">
        <f t="shared" si="223"/>
        <v>826907.65</v>
      </c>
      <c r="AK273" s="67"/>
      <c r="AL273" s="67"/>
      <c r="AM273" s="67"/>
      <c r="AN273" s="67">
        <f t="shared" si="224"/>
        <v>13117577.050000001</v>
      </c>
    </row>
    <row r="274" spans="2:40" outlineLevel="2" x14ac:dyDescent="0.25">
      <c r="B274" s="63" t="s">
        <v>343</v>
      </c>
      <c r="C274" s="64">
        <v>806008394</v>
      </c>
      <c r="D274" s="65" t="s">
        <v>129</v>
      </c>
      <c r="E274" s="66">
        <v>655</v>
      </c>
      <c r="F274" s="66">
        <v>54624330.240000002</v>
      </c>
      <c r="G274" s="66">
        <v>302455860</v>
      </c>
      <c r="H274" s="66">
        <f t="shared" si="160"/>
        <v>357080190.24000001</v>
      </c>
      <c r="I274" s="66">
        <v>514983978</v>
      </c>
      <c r="J274" s="66">
        <v>143378014</v>
      </c>
      <c r="K274" s="66">
        <v>1545097</v>
      </c>
      <c r="L274" s="66">
        <v>33518226</v>
      </c>
      <c r="M274" s="66">
        <v>117466762.97</v>
      </c>
      <c r="N274" s="66">
        <v>119091930</v>
      </c>
      <c r="O274" s="66">
        <v>-90930946</v>
      </c>
      <c r="P274" s="66">
        <v>0</v>
      </c>
      <c r="Q274" s="67">
        <f t="shared" si="205"/>
        <v>1196133252.21</v>
      </c>
      <c r="S274" s="68">
        <f t="shared" si="214"/>
        <v>178540095.12</v>
      </c>
      <c r="T274" s="67">
        <f t="shared" si="214"/>
        <v>257491989</v>
      </c>
      <c r="U274" s="67">
        <f t="shared" si="215"/>
        <v>86026808.399999991</v>
      </c>
      <c r="V274" s="67">
        <f t="shared" si="216"/>
        <v>1081567.8999999999</v>
      </c>
      <c r="W274" s="67">
        <f t="shared" si="217"/>
        <v>23462758.199999999</v>
      </c>
      <c r="X274" s="67">
        <f t="shared" si="218"/>
        <v>88100072.227499992</v>
      </c>
      <c r="Y274" s="67">
        <f>(Q274-S274-T274-U274-V274-W274-X274)*10%</f>
        <v>56142996.136250012</v>
      </c>
      <c r="Z274" s="67">
        <f t="shared" si="220"/>
        <v>690846286.98374999</v>
      </c>
      <c r="AA274" s="62"/>
      <c r="AB274" s="67">
        <f t="shared" si="221"/>
        <v>178540095.12</v>
      </c>
      <c r="AC274" s="67">
        <f t="shared" si="221"/>
        <v>257491989</v>
      </c>
      <c r="AD274" s="67">
        <f t="shared" si="221"/>
        <v>86026808.399999991</v>
      </c>
      <c r="AE274" s="67">
        <f t="shared" si="221"/>
        <v>1081567.8999999999</v>
      </c>
      <c r="AF274" s="67">
        <f t="shared" si="221"/>
        <v>23462758.199999999</v>
      </c>
      <c r="AG274" s="67">
        <f t="shared" si="221"/>
        <v>88100072.227499992</v>
      </c>
      <c r="AH274" s="67">
        <f t="shared" si="222"/>
        <v>18714332.045416672</v>
      </c>
      <c r="AI274" s="67">
        <f t="shared" si="223"/>
        <v>18714332.045416672</v>
      </c>
      <c r="AJ274" s="67">
        <f t="shared" si="223"/>
        <v>18714332.045416672</v>
      </c>
      <c r="AK274" s="67"/>
      <c r="AL274" s="67"/>
      <c r="AM274" s="67"/>
      <c r="AN274" s="67">
        <f t="shared" si="224"/>
        <v>690846286.9837501</v>
      </c>
    </row>
    <row r="275" spans="2:40" outlineLevel="2" x14ac:dyDescent="0.25">
      <c r="B275" s="63" t="s">
        <v>343</v>
      </c>
      <c r="C275" s="64">
        <v>809008362</v>
      </c>
      <c r="D275" s="65" t="s">
        <v>130</v>
      </c>
      <c r="E275" s="66">
        <v>656</v>
      </c>
      <c r="F275" s="66">
        <v>685250.89</v>
      </c>
      <c r="G275" s="66">
        <v>12919800</v>
      </c>
      <c r="H275" s="66">
        <f t="shared" si="160"/>
        <v>13605050.890000001</v>
      </c>
      <c r="I275" s="66">
        <v>47389847</v>
      </c>
      <c r="J275" s="66">
        <v>12837548</v>
      </c>
      <c r="K275" s="66">
        <v>71688385</v>
      </c>
      <c r="L275" s="66">
        <v>264269674</v>
      </c>
      <c r="M275" s="66">
        <v>86374886</v>
      </c>
      <c r="N275" s="66">
        <v>121561316</v>
      </c>
      <c r="O275" s="66">
        <v>0</v>
      </c>
      <c r="P275" s="66">
        <v>0</v>
      </c>
      <c r="Q275" s="67">
        <f t="shared" si="205"/>
        <v>617726706.88999999</v>
      </c>
      <c r="S275" s="68">
        <f t="shared" si="214"/>
        <v>6802525.4450000003</v>
      </c>
      <c r="T275" s="67">
        <f t="shared" si="214"/>
        <v>23694923.5</v>
      </c>
      <c r="U275" s="67">
        <f t="shared" si="215"/>
        <v>7702528.7999999998</v>
      </c>
      <c r="V275" s="67">
        <f t="shared" si="216"/>
        <v>50181869.5</v>
      </c>
      <c r="W275" s="67">
        <f t="shared" si="217"/>
        <v>184988771.79999998</v>
      </c>
      <c r="X275" s="67">
        <f t="shared" si="218"/>
        <v>64781164.5</v>
      </c>
      <c r="Y275" s="67">
        <f t="shared" si="219"/>
        <v>139787461.67250001</v>
      </c>
      <c r="Z275" s="67">
        <f t="shared" si="220"/>
        <v>477939245.21749997</v>
      </c>
      <c r="AA275" s="62"/>
      <c r="AB275" s="67">
        <f t="shared" si="221"/>
        <v>6802525.4450000003</v>
      </c>
      <c r="AC275" s="67">
        <f t="shared" si="221"/>
        <v>23694923.5</v>
      </c>
      <c r="AD275" s="67">
        <f t="shared" si="221"/>
        <v>7702528.7999999998</v>
      </c>
      <c r="AE275" s="67">
        <f t="shared" si="221"/>
        <v>50181869.5</v>
      </c>
      <c r="AF275" s="67">
        <f t="shared" si="221"/>
        <v>184988771.79999998</v>
      </c>
      <c r="AG275" s="67">
        <f t="shared" si="221"/>
        <v>64781164.5</v>
      </c>
      <c r="AH275" s="67">
        <f t="shared" si="222"/>
        <v>46595820.557500005</v>
      </c>
      <c r="AI275" s="67">
        <f t="shared" si="223"/>
        <v>46595820.557500005</v>
      </c>
      <c r="AJ275" s="67">
        <f t="shared" si="223"/>
        <v>46595820.557500005</v>
      </c>
      <c r="AK275" s="67"/>
      <c r="AL275" s="67"/>
      <c r="AM275" s="67"/>
      <c r="AN275" s="67">
        <f t="shared" si="224"/>
        <v>477939245.21749997</v>
      </c>
    </row>
    <row r="276" spans="2:40" outlineLevel="2" x14ac:dyDescent="0.25">
      <c r="B276" s="63" t="s">
        <v>343</v>
      </c>
      <c r="C276" s="64">
        <v>814000337</v>
      </c>
      <c r="D276" s="65" t="s">
        <v>344</v>
      </c>
      <c r="E276" s="66">
        <v>259</v>
      </c>
      <c r="F276" s="66">
        <v>0</v>
      </c>
      <c r="G276" s="66">
        <v>0</v>
      </c>
      <c r="H276" s="66">
        <f t="shared" si="160"/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</v>
      </c>
      <c r="N276" s="66">
        <v>265396409</v>
      </c>
      <c r="O276" s="66">
        <v>0</v>
      </c>
      <c r="P276" s="66">
        <v>0</v>
      </c>
      <c r="Q276" s="67">
        <f t="shared" si="205"/>
        <v>265396409</v>
      </c>
      <c r="S276" s="68">
        <f t="shared" si="214"/>
        <v>0</v>
      </c>
      <c r="T276" s="67">
        <f t="shared" si="214"/>
        <v>0</v>
      </c>
      <c r="U276" s="67">
        <f t="shared" si="215"/>
        <v>0</v>
      </c>
      <c r="V276" s="67">
        <f t="shared" si="216"/>
        <v>0</v>
      </c>
      <c r="W276" s="67">
        <f t="shared" si="217"/>
        <v>0</v>
      </c>
      <c r="X276" s="67">
        <f t="shared" si="218"/>
        <v>0</v>
      </c>
      <c r="Y276" s="67">
        <f t="shared" si="219"/>
        <v>132698204.5</v>
      </c>
      <c r="Z276" s="67">
        <f t="shared" si="220"/>
        <v>132698204.5</v>
      </c>
      <c r="AA276" s="62"/>
      <c r="AB276" s="67">
        <f t="shared" si="221"/>
        <v>0</v>
      </c>
      <c r="AC276" s="67">
        <f t="shared" si="221"/>
        <v>0</v>
      </c>
      <c r="AD276" s="67">
        <f t="shared" si="221"/>
        <v>0</v>
      </c>
      <c r="AE276" s="67">
        <f t="shared" si="221"/>
        <v>0</v>
      </c>
      <c r="AF276" s="67">
        <f t="shared" si="221"/>
        <v>0</v>
      </c>
      <c r="AG276" s="67">
        <f t="shared" si="221"/>
        <v>0</v>
      </c>
      <c r="AH276" s="67">
        <f t="shared" si="222"/>
        <v>44232734.833333336</v>
      </c>
      <c r="AI276" s="67">
        <f t="shared" si="223"/>
        <v>44232734.833333336</v>
      </c>
      <c r="AJ276" s="67">
        <f t="shared" si="223"/>
        <v>44232734.833333336</v>
      </c>
      <c r="AK276" s="67"/>
      <c r="AL276" s="67"/>
      <c r="AM276" s="67"/>
      <c r="AN276" s="67">
        <f t="shared" si="224"/>
        <v>132698204.5</v>
      </c>
    </row>
    <row r="277" spans="2:40" outlineLevel="2" x14ac:dyDescent="0.25">
      <c r="B277" s="63" t="s">
        <v>343</v>
      </c>
      <c r="C277" s="64">
        <v>817000248</v>
      </c>
      <c r="D277" s="65" t="s">
        <v>131</v>
      </c>
      <c r="E277" s="66">
        <v>163</v>
      </c>
      <c r="F277" s="66">
        <v>0</v>
      </c>
      <c r="G277" s="66">
        <v>0</v>
      </c>
      <c r="H277" s="66">
        <f t="shared" si="160"/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270889345</v>
      </c>
      <c r="O277" s="66">
        <v>0</v>
      </c>
      <c r="P277" s="66">
        <v>0</v>
      </c>
      <c r="Q277" s="67">
        <f t="shared" si="205"/>
        <v>270889345</v>
      </c>
      <c r="S277" s="68">
        <f t="shared" si="214"/>
        <v>0</v>
      </c>
      <c r="T277" s="67">
        <f t="shared" si="214"/>
        <v>0</v>
      </c>
      <c r="U277" s="67">
        <f t="shared" si="215"/>
        <v>0</v>
      </c>
      <c r="V277" s="67">
        <f t="shared" si="216"/>
        <v>0</v>
      </c>
      <c r="W277" s="67">
        <f t="shared" si="217"/>
        <v>0</v>
      </c>
      <c r="X277" s="67">
        <f t="shared" si="218"/>
        <v>0</v>
      </c>
      <c r="Y277" s="67">
        <f t="shared" si="219"/>
        <v>135444672.5</v>
      </c>
      <c r="Z277" s="67">
        <f t="shared" si="220"/>
        <v>135444672.5</v>
      </c>
      <c r="AA277" s="62"/>
      <c r="AB277" s="67">
        <f t="shared" si="221"/>
        <v>0</v>
      </c>
      <c r="AC277" s="67">
        <f t="shared" si="221"/>
        <v>0</v>
      </c>
      <c r="AD277" s="67">
        <f t="shared" si="221"/>
        <v>0</v>
      </c>
      <c r="AE277" s="67">
        <f t="shared" si="221"/>
        <v>0</v>
      </c>
      <c r="AF277" s="67">
        <f t="shared" si="221"/>
        <v>0</v>
      </c>
      <c r="AG277" s="67">
        <f t="shared" si="221"/>
        <v>0</v>
      </c>
      <c r="AH277" s="67">
        <f t="shared" si="222"/>
        <v>45148224.166666664</v>
      </c>
      <c r="AI277" s="67">
        <f t="shared" si="223"/>
        <v>45148224.166666664</v>
      </c>
      <c r="AJ277" s="67">
        <f t="shared" si="223"/>
        <v>45148224.166666664</v>
      </c>
      <c r="AK277" s="67"/>
      <c r="AL277" s="67"/>
      <c r="AM277" s="67"/>
      <c r="AN277" s="67">
        <f t="shared" si="224"/>
        <v>135444672.5</v>
      </c>
    </row>
    <row r="278" spans="2:40" outlineLevel="2" x14ac:dyDescent="0.25">
      <c r="B278" s="63" t="s">
        <v>343</v>
      </c>
      <c r="C278" s="64">
        <v>817001773</v>
      </c>
      <c r="D278" s="65" t="s">
        <v>345</v>
      </c>
      <c r="E278" s="66">
        <v>245</v>
      </c>
      <c r="F278" s="66">
        <v>4385903</v>
      </c>
      <c r="G278" s="66">
        <v>22091271</v>
      </c>
      <c r="H278" s="66">
        <f t="shared" si="160"/>
        <v>26477174</v>
      </c>
      <c r="I278" s="66">
        <v>87552707</v>
      </c>
      <c r="J278" s="66">
        <v>0</v>
      </c>
      <c r="K278" s="66">
        <v>8528970</v>
      </c>
      <c r="L278" s="66">
        <v>8252254</v>
      </c>
      <c r="M278" s="66">
        <v>63539285</v>
      </c>
      <c r="N278" s="66">
        <v>261032781</v>
      </c>
      <c r="O278" s="66">
        <v>0</v>
      </c>
      <c r="P278" s="66">
        <v>0</v>
      </c>
      <c r="Q278" s="67">
        <f t="shared" si="205"/>
        <v>455383171</v>
      </c>
      <c r="S278" s="68">
        <f t="shared" si="214"/>
        <v>13238587</v>
      </c>
      <c r="T278" s="67">
        <f t="shared" si="214"/>
        <v>43776353.5</v>
      </c>
      <c r="U278" s="67">
        <f t="shared" si="215"/>
        <v>0</v>
      </c>
      <c r="V278" s="67">
        <f t="shared" si="216"/>
        <v>5970279</v>
      </c>
      <c r="W278" s="67">
        <f t="shared" si="217"/>
        <v>5776577.7999999998</v>
      </c>
      <c r="X278" s="67">
        <f t="shared" si="218"/>
        <v>47654463.75</v>
      </c>
      <c r="Y278" s="67">
        <f t="shared" si="219"/>
        <v>169483454.97499999</v>
      </c>
      <c r="Z278" s="67">
        <f t="shared" si="220"/>
        <v>285899716.02499998</v>
      </c>
      <c r="AA278" s="62"/>
      <c r="AB278" s="67">
        <f t="shared" si="221"/>
        <v>13238587</v>
      </c>
      <c r="AC278" s="67">
        <f t="shared" si="221"/>
        <v>43776353.5</v>
      </c>
      <c r="AD278" s="67">
        <f t="shared" si="221"/>
        <v>0</v>
      </c>
      <c r="AE278" s="67">
        <f t="shared" si="221"/>
        <v>5970279</v>
      </c>
      <c r="AF278" s="67">
        <f t="shared" si="221"/>
        <v>5776577.7999999998</v>
      </c>
      <c r="AG278" s="67">
        <f t="shared" si="221"/>
        <v>47654463.75</v>
      </c>
      <c r="AH278" s="67">
        <f t="shared" si="222"/>
        <v>56494484.991666667</v>
      </c>
      <c r="AI278" s="67">
        <f t="shared" si="223"/>
        <v>56494484.991666667</v>
      </c>
      <c r="AJ278" s="67">
        <f t="shared" si="223"/>
        <v>56494484.991666667</v>
      </c>
      <c r="AK278" s="67"/>
      <c r="AL278" s="67"/>
      <c r="AM278" s="67"/>
      <c r="AN278" s="67">
        <f t="shared" si="224"/>
        <v>285899716.02499998</v>
      </c>
    </row>
    <row r="279" spans="2:40" outlineLevel="2" x14ac:dyDescent="0.25">
      <c r="B279" s="63" t="s">
        <v>343</v>
      </c>
      <c r="C279" s="64">
        <v>824001398</v>
      </c>
      <c r="D279" s="65" t="s">
        <v>346</v>
      </c>
      <c r="E279" s="66">
        <v>188</v>
      </c>
      <c r="F279" s="66">
        <v>151568</v>
      </c>
      <c r="G279" s="66">
        <v>5351878</v>
      </c>
      <c r="H279" s="66">
        <f t="shared" si="160"/>
        <v>5503446</v>
      </c>
      <c r="I279" s="66">
        <v>837243</v>
      </c>
      <c r="J279" s="66">
        <v>18429405</v>
      </c>
      <c r="K279" s="66">
        <v>10677662</v>
      </c>
      <c r="L279" s="66">
        <v>72446654</v>
      </c>
      <c r="M279" s="66">
        <v>3840322</v>
      </c>
      <c r="N279" s="66">
        <v>82136436</v>
      </c>
      <c r="O279" s="66">
        <v>0</v>
      </c>
      <c r="P279" s="66">
        <v>0</v>
      </c>
      <c r="Q279" s="67">
        <f t="shared" si="205"/>
        <v>193871168</v>
      </c>
      <c r="S279" s="68">
        <f t="shared" si="214"/>
        <v>2751723</v>
      </c>
      <c r="T279" s="67">
        <f t="shared" si="214"/>
        <v>418621.5</v>
      </c>
      <c r="U279" s="67">
        <f t="shared" si="215"/>
        <v>11057643</v>
      </c>
      <c r="V279" s="67">
        <f t="shared" si="216"/>
        <v>7474363.3999999994</v>
      </c>
      <c r="W279" s="67">
        <f t="shared" si="217"/>
        <v>50712657.799999997</v>
      </c>
      <c r="X279" s="67">
        <f t="shared" si="218"/>
        <v>2880241.5</v>
      </c>
      <c r="Y279" s="67">
        <f t="shared" si="219"/>
        <v>59287958.899999999</v>
      </c>
      <c r="Z279" s="67">
        <f t="shared" si="220"/>
        <v>134583209.09999999</v>
      </c>
      <c r="AA279" s="62"/>
      <c r="AB279" s="67">
        <f t="shared" si="221"/>
        <v>2751723</v>
      </c>
      <c r="AC279" s="67">
        <f t="shared" si="221"/>
        <v>418621.5</v>
      </c>
      <c r="AD279" s="67">
        <f t="shared" si="221"/>
        <v>11057643</v>
      </c>
      <c r="AE279" s="67">
        <f t="shared" si="221"/>
        <v>7474363.3999999994</v>
      </c>
      <c r="AF279" s="67">
        <f t="shared" si="221"/>
        <v>50712657.799999997</v>
      </c>
      <c r="AG279" s="67">
        <f t="shared" si="221"/>
        <v>2880241.5</v>
      </c>
      <c r="AH279" s="67">
        <f t="shared" si="222"/>
        <v>19762652.966666665</v>
      </c>
      <c r="AI279" s="67">
        <f t="shared" si="223"/>
        <v>19762652.966666665</v>
      </c>
      <c r="AJ279" s="67">
        <f t="shared" si="223"/>
        <v>19762652.966666665</v>
      </c>
      <c r="AK279" s="67"/>
      <c r="AL279" s="67"/>
      <c r="AM279" s="67"/>
      <c r="AN279" s="67">
        <f t="shared" si="224"/>
        <v>134583209.09999999</v>
      </c>
    </row>
    <row r="280" spans="2:40" outlineLevel="2" x14ac:dyDescent="0.25">
      <c r="B280" s="63" t="s">
        <v>343</v>
      </c>
      <c r="C280" s="64">
        <v>830003564</v>
      </c>
      <c r="D280" s="65" t="s">
        <v>132</v>
      </c>
      <c r="E280" s="66">
        <v>4660</v>
      </c>
      <c r="F280" s="66">
        <v>5052029.45</v>
      </c>
      <c r="G280" s="66">
        <v>1061185775</v>
      </c>
      <c r="H280" s="66">
        <f t="shared" ref="H280:H300" si="225">+F280+G280</f>
        <v>1066237804.45</v>
      </c>
      <c r="I280" s="66">
        <v>1176667387</v>
      </c>
      <c r="J280" s="66">
        <v>1022954711</v>
      </c>
      <c r="K280" s="66">
        <v>789956661</v>
      </c>
      <c r="L280" s="66">
        <v>165905963.19999999</v>
      </c>
      <c r="M280" s="66">
        <v>135072376</v>
      </c>
      <c r="N280" s="66">
        <v>687536824</v>
      </c>
      <c r="O280" s="66">
        <v>0</v>
      </c>
      <c r="P280" s="66">
        <v>-795707141</v>
      </c>
      <c r="Q280" s="67">
        <f t="shared" si="205"/>
        <v>4248624585.6499996</v>
      </c>
      <c r="S280" s="68">
        <f t="shared" si="214"/>
        <v>533118902.22500002</v>
      </c>
      <c r="T280" s="67">
        <f t="shared" si="214"/>
        <v>588333693.5</v>
      </c>
      <c r="U280" s="67">
        <f t="shared" si="215"/>
        <v>613772826.60000002</v>
      </c>
      <c r="V280" s="67">
        <f t="shared" si="216"/>
        <v>552969662.69999993</v>
      </c>
      <c r="W280" s="67">
        <f t="shared" si="217"/>
        <v>116134174.23999998</v>
      </c>
      <c r="X280" s="67">
        <f t="shared" si="218"/>
        <v>101304282</v>
      </c>
      <c r="Y280" s="67">
        <f>(Q280-S280-T280-U280-V280-W280-X280)*10%</f>
        <v>174299104.43850002</v>
      </c>
      <c r="Z280" s="67">
        <f t="shared" si="220"/>
        <v>2679932645.7034993</v>
      </c>
      <c r="AA280" s="62"/>
      <c r="AB280" s="67">
        <f>+Z280-AC280-AD280-AE280-AF280-AG280-AH280-AI280-AJ280</f>
        <v>1533892391.5249991</v>
      </c>
      <c r="AC280" s="67">
        <f t="shared" si="221"/>
        <v>588333693.5</v>
      </c>
      <c r="AD280" s="67">
        <v>113000000</v>
      </c>
      <c r="AE280" s="67">
        <v>52969000</v>
      </c>
      <c r="AF280" s="67">
        <f t="shared" si="221"/>
        <v>116134174.23999998</v>
      </c>
      <c r="AG280" s="67">
        <f t="shared" si="221"/>
        <v>101304282</v>
      </c>
      <c r="AH280" s="67">
        <f t="shared" si="222"/>
        <v>58099701.479500003</v>
      </c>
      <c r="AI280" s="67">
        <f t="shared" si="223"/>
        <v>58099701.479500003</v>
      </c>
      <c r="AJ280" s="67">
        <f t="shared" si="223"/>
        <v>58099701.479500003</v>
      </c>
      <c r="AK280" s="67"/>
      <c r="AL280" s="67"/>
      <c r="AM280" s="67"/>
      <c r="AN280" s="67">
        <f t="shared" si="224"/>
        <v>2679932645.7034984</v>
      </c>
    </row>
    <row r="281" spans="2:40" outlineLevel="2" x14ac:dyDescent="0.25">
      <c r="B281" s="63" t="s">
        <v>343</v>
      </c>
      <c r="C281" s="64">
        <v>830113831</v>
      </c>
      <c r="D281" s="65" t="s">
        <v>134</v>
      </c>
      <c r="E281" s="66">
        <v>336</v>
      </c>
      <c r="F281" s="66">
        <v>2922369</v>
      </c>
      <c r="G281" s="66">
        <v>81971930.099999994</v>
      </c>
      <c r="H281" s="66">
        <f t="shared" si="225"/>
        <v>84894299.099999994</v>
      </c>
      <c r="I281" s="66">
        <v>10656914</v>
      </c>
      <c r="J281" s="66">
        <v>54488999</v>
      </c>
      <c r="K281" s="66">
        <v>2645906</v>
      </c>
      <c r="L281" s="66">
        <v>21914229</v>
      </c>
      <c r="M281" s="66">
        <v>51300187</v>
      </c>
      <c r="N281" s="66">
        <v>160115457.16</v>
      </c>
      <c r="O281" s="66">
        <v>0</v>
      </c>
      <c r="P281" s="66">
        <v>0</v>
      </c>
      <c r="Q281" s="67">
        <f t="shared" si="205"/>
        <v>386015991.25999999</v>
      </c>
      <c r="S281" s="68">
        <f t="shared" si="214"/>
        <v>42447149.549999997</v>
      </c>
      <c r="T281" s="67">
        <f t="shared" si="214"/>
        <v>5328457</v>
      </c>
      <c r="U281" s="67">
        <f t="shared" si="215"/>
        <v>32693399.399999999</v>
      </c>
      <c r="V281" s="67">
        <f t="shared" si="216"/>
        <v>1852134.2</v>
      </c>
      <c r="W281" s="67">
        <f t="shared" si="217"/>
        <v>15339960.299999999</v>
      </c>
      <c r="X281" s="67">
        <f t="shared" si="218"/>
        <v>38475140.25</v>
      </c>
      <c r="Y281" s="67">
        <f t="shared" si="219"/>
        <v>124939875.28</v>
      </c>
      <c r="Z281" s="67">
        <f t="shared" si="220"/>
        <v>261076115.97999999</v>
      </c>
      <c r="AA281" s="62"/>
      <c r="AB281" s="67">
        <f t="shared" si="221"/>
        <v>42447149.549999997</v>
      </c>
      <c r="AC281" s="67">
        <f t="shared" si="221"/>
        <v>5328457</v>
      </c>
      <c r="AD281" s="67">
        <f t="shared" si="221"/>
        <v>32693399.399999999</v>
      </c>
      <c r="AE281" s="67">
        <f t="shared" si="221"/>
        <v>1852134.2</v>
      </c>
      <c r="AF281" s="67">
        <f t="shared" si="221"/>
        <v>15339960.299999999</v>
      </c>
      <c r="AG281" s="67">
        <f t="shared" si="221"/>
        <v>38475140.25</v>
      </c>
      <c r="AH281" s="67">
        <f t="shared" si="222"/>
        <v>41646625.093333334</v>
      </c>
      <c r="AI281" s="67">
        <f t="shared" si="223"/>
        <v>41646625.093333334</v>
      </c>
      <c r="AJ281" s="67">
        <f t="shared" si="223"/>
        <v>41646625.093333334</v>
      </c>
      <c r="AK281" s="67"/>
      <c r="AL281" s="67"/>
      <c r="AM281" s="67"/>
      <c r="AN281" s="67">
        <f t="shared" si="224"/>
        <v>261076115.97999999</v>
      </c>
    </row>
    <row r="282" spans="2:40" outlineLevel="2" x14ac:dyDescent="0.25">
      <c r="B282" s="63" t="s">
        <v>343</v>
      </c>
      <c r="C282" s="64">
        <v>837000084</v>
      </c>
      <c r="D282" s="65" t="s">
        <v>135</v>
      </c>
      <c r="E282" s="66">
        <v>584</v>
      </c>
      <c r="F282" s="66">
        <v>1195104.8</v>
      </c>
      <c r="G282" s="66">
        <v>139970558</v>
      </c>
      <c r="H282" s="66">
        <f t="shared" si="225"/>
        <v>141165662.80000001</v>
      </c>
      <c r="I282" s="66">
        <v>47888610</v>
      </c>
      <c r="J282" s="66">
        <v>22290454</v>
      </c>
      <c r="K282" s="66">
        <v>105617948</v>
      </c>
      <c r="L282" s="66">
        <v>42217274</v>
      </c>
      <c r="M282" s="66">
        <v>8210683</v>
      </c>
      <c r="N282" s="66">
        <v>210780168</v>
      </c>
      <c r="O282" s="66">
        <v>0</v>
      </c>
      <c r="P282" s="66">
        <v>0</v>
      </c>
      <c r="Q282" s="67">
        <f t="shared" si="205"/>
        <v>578170799.79999995</v>
      </c>
      <c r="S282" s="68">
        <f t="shared" si="214"/>
        <v>70582831.400000006</v>
      </c>
      <c r="T282" s="67">
        <f t="shared" si="214"/>
        <v>23944305</v>
      </c>
      <c r="U282" s="67">
        <f t="shared" si="215"/>
        <v>13374272.4</v>
      </c>
      <c r="V282" s="67">
        <f t="shared" si="216"/>
        <v>73932563.599999994</v>
      </c>
      <c r="W282" s="67">
        <f t="shared" si="217"/>
        <v>29552091.799999997</v>
      </c>
      <c r="X282" s="67">
        <f t="shared" si="218"/>
        <v>6158012.25</v>
      </c>
      <c r="Y282" s="67">
        <f t="shared" si="219"/>
        <v>180313361.67499998</v>
      </c>
      <c r="Z282" s="67">
        <f t="shared" si="220"/>
        <v>397857438.125</v>
      </c>
      <c r="AA282" s="62"/>
      <c r="AB282" s="67">
        <f t="shared" si="221"/>
        <v>70582831.400000006</v>
      </c>
      <c r="AC282" s="67">
        <f t="shared" si="221"/>
        <v>23944305</v>
      </c>
      <c r="AD282" s="67">
        <f t="shared" si="221"/>
        <v>13374272.4</v>
      </c>
      <c r="AE282" s="67">
        <f t="shared" si="221"/>
        <v>73932563.599999994</v>
      </c>
      <c r="AF282" s="67">
        <f t="shared" si="221"/>
        <v>29552091.799999997</v>
      </c>
      <c r="AG282" s="67">
        <f t="shared" si="221"/>
        <v>6158012.25</v>
      </c>
      <c r="AH282" s="67">
        <f t="shared" si="222"/>
        <v>60104453.891666658</v>
      </c>
      <c r="AI282" s="67">
        <f t="shared" si="223"/>
        <v>60104453.891666658</v>
      </c>
      <c r="AJ282" s="67">
        <f t="shared" si="223"/>
        <v>60104453.891666658</v>
      </c>
      <c r="AK282" s="67"/>
      <c r="AL282" s="67"/>
      <c r="AM282" s="67"/>
      <c r="AN282" s="67">
        <f t="shared" si="224"/>
        <v>397857438.12499994</v>
      </c>
    </row>
    <row r="283" spans="2:40" outlineLevel="2" x14ac:dyDescent="0.25">
      <c r="B283" s="63" t="s">
        <v>343</v>
      </c>
      <c r="C283" s="64">
        <v>839000495</v>
      </c>
      <c r="D283" s="65" t="s">
        <v>136</v>
      </c>
      <c r="E283" s="66">
        <v>36</v>
      </c>
      <c r="F283" s="66">
        <v>0</v>
      </c>
      <c r="G283" s="66">
        <v>1472832</v>
      </c>
      <c r="H283" s="66">
        <f t="shared" si="225"/>
        <v>1472832</v>
      </c>
      <c r="I283" s="66">
        <v>4686210</v>
      </c>
      <c r="J283" s="66">
        <v>94736903</v>
      </c>
      <c r="K283" s="66">
        <v>2385881</v>
      </c>
      <c r="L283" s="66">
        <v>48476131</v>
      </c>
      <c r="M283" s="66">
        <v>312766</v>
      </c>
      <c r="N283" s="66">
        <v>151496.5</v>
      </c>
      <c r="O283" s="66">
        <v>0</v>
      </c>
      <c r="P283" s="66">
        <v>-54500</v>
      </c>
      <c r="Q283" s="67">
        <f t="shared" si="205"/>
        <v>152167719.5</v>
      </c>
      <c r="S283" s="68">
        <f t="shared" si="214"/>
        <v>736416</v>
      </c>
      <c r="T283" s="67">
        <f t="shared" si="214"/>
        <v>2343105</v>
      </c>
      <c r="U283" s="67">
        <f t="shared" si="215"/>
        <v>56842141.799999997</v>
      </c>
      <c r="V283" s="67">
        <f t="shared" si="216"/>
        <v>1670116.7</v>
      </c>
      <c r="W283" s="67">
        <f t="shared" si="217"/>
        <v>33933291.699999996</v>
      </c>
      <c r="X283" s="67">
        <f t="shared" si="218"/>
        <v>234574.5</v>
      </c>
      <c r="Y283" s="67">
        <f t="shared" si="219"/>
        <v>28204036.900000002</v>
      </c>
      <c r="Z283" s="67">
        <f t="shared" si="220"/>
        <v>123963682.59999999</v>
      </c>
      <c r="AA283" s="62"/>
      <c r="AB283" s="67">
        <f t="shared" si="221"/>
        <v>736416</v>
      </c>
      <c r="AC283" s="67">
        <f t="shared" si="221"/>
        <v>2343105</v>
      </c>
      <c r="AD283" s="67">
        <f t="shared" si="221"/>
        <v>56842141.799999997</v>
      </c>
      <c r="AE283" s="67">
        <f t="shared" si="221"/>
        <v>1670116.7</v>
      </c>
      <c r="AF283" s="67">
        <f t="shared" si="221"/>
        <v>33933291.699999996</v>
      </c>
      <c r="AG283" s="67">
        <f t="shared" si="221"/>
        <v>234574.5</v>
      </c>
      <c r="AH283" s="67">
        <f t="shared" si="222"/>
        <v>9401345.6333333347</v>
      </c>
      <c r="AI283" s="67">
        <f t="shared" si="223"/>
        <v>9401345.6333333347</v>
      </c>
      <c r="AJ283" s="67">
        <f t="shared" si="223"/>
        <v>9401345.6333333347</v>
      </c>
      <c r="AK283" s="67"/>
      <c r="AL283" s="67"/>
      <c r="AM283" s="67"/>
      <c r="AN283" s="67">
        <f t="shared" si="224"/>
        <v>123963682.60000001</v>
      </c>
    </row>
    <row r="284" spans="2:40" outlineLevel="2" x14ac:dyDescent="0.25">
      <c r="B284" s="63" t="s">
        <v>343</v>
      </c>
      <c r="C284" s="64">
        <v>860066942</v>
      </c>
      <c r="D284" s="65" t="s">
        <v>137</v>
      </c>
      <c r="E284" s="66">
        <v>1311</v>
      </c>
      <c r="F284" s="66">
        <v>85358707.370000005</v>
      </c>
      <c r="G284" s="66">
        <v>301680411.19999999</v>
      </c>
      <c r="H284" s="66">
        <f t="shared" si="225"/>
        <v>387039118.56999999</v>
      </c>
      <c r="I284" s="66">
        <v>391053320</v>
      </c>
      <c r="J284" s="66">
        <v>558930126</v>
      </c>
      <c r="K284" s="66">
        <v>492237679</v>
      </c>
      <c r="L284" s="66">
        <v>141662144</v>
      </c>
      <c r="M284" s="66">
        <v>72666527</v>
      </c>
      <c r="N284" s="66">
        <v>125217754.2</v>
      </c>
      <c r="O284" s="66">
        <v>0</v>
      </c>
      <c r="P284" s="66">
        <v>-1022444523</v>
      </c>
      <c r="Q284" s="67">
        <f t="shared" si="205"/>
        <v>1146362145.77</v>
      </c>
      <c r="S284" s="68">
        <f t="shared" si="214"/>
        <v>193519559.285</v>
      </c>
      <c r="T284" s="67">
        <f t="shared" si="214"/>
        <v>195526660</v>
      </c>
      <c r="U284" s="67">
        <f t="shared" si="215"/>
        <v>335358075.59999996</v>
      </c>
      <c r="V284" s="67">
        <f t="shared" si="216"/>
        <v>344566375.29999995</v>
      </c>
      <c r="W284" s="67">
        <v>77391476</v>
      </c>
      <c r="X284" s="67">
        <v>0</v>
      </c>
      <c r="Y284" s="67">
        <v>0</v>
      </c>
      <c r="Z284" s="67">
        <f t="shared" si="220"/>
        <v>1146362146.1849999</v>
      </c>
      <c r="AA284" s="62"/>
      <c r="AB284" s="67">
        <f t="shared" si="221"/>
        <v>193519559.285</v>
      </c>
      <c r="AC284" s="67">
        <f t="shared" si="221"/>
        <v>195526660</v>
      </c>
      <c r="AD284" s="67">
        <f t="shared" si="221"/>
        <v>335358075.59999996</v>
      </c>
      <c r="AE284" s="67">
        <f t="shared" si="221"/>
        <v>344566375.29999995</v>
      </c>
      <c r="AF284" s="67">
        <f t="shared" si="221"/>
        <v>77391476</v>
      </c>
      <c r="AG284" s="67">
        <f t="shared" si="221"/>
        <v>0</v>
      </c>
      <c r="AH284" s="67">
        <f t="shared" si="222"/>
        <v>0</v>
      </c>
      <c r="AI284" s="67">
        <f t="shared" si="223"/>
        <v>0</v>
      </c>
      <c r="AJ284" s="67">
        <f t="shared" si="223"/>
        <v>0</v>
      </c>
      <c r="AK284" s="67"/>
      <c r="AL284" s="67"/>
      <c r="AM284" s="67"/>
      <c r="AN284" s="67">
        <f t="shared" si="224"/>
        <v>1146362146.1849999</v>
      </c>
    </row>
    <row r="285" spans="2:40" outlineLevel="2" x14ac:dyDescent="0.25">
      <c r="B285" s="63" t="s">
        <v>343</v>
      </c>
      <c r="C285" s="64">
        <v>890102044</v>
      </c>
      <c r="D285" s="65" t="s">
        <v>138</v>
      </c>
      <c r="E285" s="66">
        <v>167</v>
      </c>
      <c r="F285" s="66">
        <v>283019.68</v>
      </c>
      <c r="G285" s="66">
        <v>0</v>
      </c>
      <c r="H285" s="66">
        <f t="shared" si="225"/>
        <v>283019.68</v>
      </c>
      <c r="I285" s="66">
        <v>0</v>
      </c>
      <c r="J285" s="66">
        <v>0</v>
      </c>
      <c r="K285" s="66">
        <v>0</v>
      </c>
      <c r="L285" s="66">
        <v>0</v>
      </c>
      <c r="M285" s="66">
        <v>0</v>
      </c>
      <c r="N285" s="66">
        <v>172093942</v>
      </c>
      <c r="O285" s="66">
        <v>0</v>
      </c>
      <c r="P285" s="66">
        <v>0</v>
      </c>
      <c r="Q285" s="67">
        <f t="shared" si="205"/>
        <v>172376961.68000001</v>
      </c>
      <c r="S285" s="68">
        <f t="shared" si="214"/>
        <v>141509.84</v>
      </c>
      <c r="T285" s="67">
        <f t="shared" si="214"/>
        <v>0</v>
      </c>
      <c r="U285" s="67">
        <f t="shared" si="215"/>
        <v>0</v>
      </c>
      <c r="V285" s="67">
        <f t="shared" si="216"/>
        <v>0</v>
      </c>
      <c r="W285" s="67">
        <f t="shared" si="217"/>
        <v>0</v>
      </c>
      <c r="X285" s="67">
        <f t="shared" si="218"/>
        <v>0</v>
      </c>
      <c r="Y285" s="67">
        <f t="shared" si="219"/>
        <v>86117725.920000002</v>
      </c>
      <c r="Z285" s="67">
        <f t="shared" si="220"/>
        <v>86259235.760000005</v>
      </c>
      <c r="AA285" s="62"/>
      <c r="AB285" s="67">
        <f t="shared" si="221"/>
        <v>141509.84</v>
      </c>
      <c r="AC285" s="67">
        <f t="shared" si="221"/>
        <v>0</v>
      </c>
      <c r="AD285" s="67">
        <f t="shared" si="221"/>
        <v>0</v>
      </c>
      <c r="AE285" s="67">
        <f t="shared" si="221"/>
        <v>0</v>
      </c>
      <c r="AF285" s="67">
        <f t="shared" si="221"/>
        <v>0</v>
      </c>
      <c r="AG285" s="67">
        <f t="shared" si="221"/>
        <v>0</v>
      </c>
      <c r="AH285" s="67">
        <f t="shared" si="222"/>
        <v>28705908.640000001</v>
      </c>
      <c r="AI285" s="67">
        <f t="shared" ref="AI285:AJ300" si="226">+AH285</f>
        <v>28705908.640000001</v>
      </c>
      <c r="AJ285" s="67">
        <f t="shared" si="226"/>
        <v>28705908.640000001</v>
      </c>
      <c r="AK285" s="67"/>
      <c r="AL285" s="67"/>
      <c r="AM285" s="67"/>
      <c r="AN285" s="67">
        <f t="shared" si="224"/>
        <v>86259235.760000005</v>
      </c>
    </row>
    <row r="286" spans="2:40" outlineLevel="2" x14ac:dyDescent="0.25">
      <c r="B286" s="63" t="s">
        <v>343</v>
      </c>
      <c r="C286" s="64">
        <v>890303093</v>
      </c>
      <c r="D286" s="65" t="s">
        <v>139</v>
      </c>
      <c r="E286" s="66">
        <v>26</v>
      </c>
      <c r="F286" s="66">
        <v>0</v>
      </c>
      <c r="G286" s="66">
        <v>0</v>
      </c>
      <c r="H286" s="66">
        <f t="shared" si="225"/>
        <v>0</v>
      </c>
      <c r="I286" s="66">
        <v>0</v>
      </c>
      <c r="J286" s="66">
        <v>345712</v>
      </c>
      <c r="K286" s="66">
        <v>0</v>
      </c>
      <c r="L286" s="66">
        <v>6993223</v>
      </c>
      <c r="M286" s="66">
        <v>531300</v>
      </c>
      <c r="N286" s="66">
        <v>18182215</v>
      </c>
      <c r="O286" s="66">
        <v>-5938124</v>
      </c>
      <c r="P286" s="66">
        <v>0</v>
      </c>
      <c r="Q286" s="67">
        <f t="shared" si="205"/>
        <v>20114326</v>
      </c>
      <c r="S286" s="68">
        <f t="shared" si="214"/>
        <v>0</v>
      </c>
      <c r="T286" s="67">
        <f t="shared" si="214"/>
        <v>0</v>
      </c>
      <c r="U286" s="67">
        <f t="shared" si="215"/>
        <v>207427.19999999998</v>
      </c>
      <c r="V286" s="67">
        <f t="shared" si="216"/>
        <v>0</v>
      </c>
      <c r="W286" s="67">
        <f t="shared" si="217"/>
        <v>4895256.0999999996</v>
      </c>
      <c r="X286" s="67">
        <f t="shared" si="218"/>
        <v>398475</v>
      </c>
      <c r="Y286" s="67">
        <f t="shared" si="219"/>
        <v>7306583.8500000006</v>
      </c>
      <c r="Z286" s="67">
        <f t="shared" si="220"/>
        <v>12807742.15</v>
      </c>
      <c r="AA286" s="62"/>
      <c r="AB286" s="67">
        <f t="shared" si="221"/>
        <v>0</v>
      </c>
      <c r="AC286" s="67">
        <f t="shared" si="221"/>
        <v>0</v>
      </c>
      <c r="AD286" s="67">
        <f t="shared" si="221"/>
        <v>207427.19999999998</v>
      </c>
      <c r="AE286" s="67">
        <f t="shared" si="221"/>
        <v>0</v>
      </c>
      <c r="AF286" s="67">
        <f t="shared" si="221"/>
        <v>4895256.0999999996</v>
      </c>
      <c r="AG286" s="67">
        <f t="shared" si="221"/>
        <v>398475</v>
      </c>
      <c r="AH286" s="67">
        <f t="shared" si="222"/>
        <v>2435527.9500000002</v>
      </c>
      <c r="AI286" s="67">
        <f t="shared" si="226"/>
        <v>2435527.9500000002</v>
      </c>
      <c r="AJ286" s="67">
        <f t="shared" si="226"/>
        <v>2435527.9500000002</v>
      </c>
      <c r="AK286" s="67"/>
      <c r="AL286" s="67"/>
      <c r="AM286" s="67"/>
      <c r="AN286" s="67">
        <f t="shared" si="224"/>
        <v>12807742.149999999</v>
      </c>
    </row>
    <row r="287" spans="2:40" outlineLevel="2" x14ac:dyDescent="0.25">
      <c r="B287" s="63" t="s">
        <v>343</v>
      </c>
      <c r="C287" s="64">
        <v>890500675</v>
      </c>
      <c r="D287" s="65" t="s">
        <v>347</v>
      </c>
      <c r="E287" s="66">
        <v>39</v>
      </c>
      <c r="F287" s="66">
        <v>0</v>
      </c>
      <c r="G287" s="66">
        <v>9363700</v>
      </c>
      <c r="H287" s="66">
        <f t="shared" si="225"/>
        <v>9363700</v>
      </c>
      <c r="I287" s="66">
        <v>3268140</v>
      </c>
      <c r="J287" s="66">
        <v>0</v>
      </c>
      <c r="K287" s="66">
        <v>0</v>
      </c>
      <c r="L287" s="66">
        <v>0</v>
      </c>
      <c r="M287" s="66">
        <v>20805701</v>
      </c>
      <c r="N287" s="66">
        <v>10679349</v>
      </c>
      <c r="O287" s="66">
        <v>0</v>
      </c>
      <c r="P287" s="66">
        <v>0</v>
      </c>
      <c r="Q287" s="67">
        <f t="shared" si="205"/>
        <v>44116890</v>
      </c>
      <c r="S287" s="68">
        <f t="shared" si="214"/>
        <v>4681850</v>
      </c>
      <c r="T287" s="67">
        <f t="shared" si="214"/>
        <v>1634070</v>
      </c>
      <c r="U287" s="67">
        <f t="shared" si="215"/>
        <v>0</v>
      </c>
      <c r="V287" s="67">
        <f t="shared" si="216"/>
        <v>0</v>
      </c>
      <c r="W287" s="67">
        <f t="shared" si="217"/>
        <v>0</v>
      </c>
      <c r="X287" s="67">
        <f t="shared" si="218"/>
        <v>15604275.75</v>
      </c>
      <c r="Y287" s="67">
        <f t="shared" si="219"/>
        <v>11098347.125</v>
      </c>
      <c r="Z287" s="67">
        <f t="shared" si="220"/>
        <v>33018542.875</v>
      </c>
      <c r="AA287" s="62"/>
      <c r="AB287" s="67">
        <f t="shared" si="221"/>
        <v>4681850</v>
      </c>
      <c r="AC287" s="67">
        <f t="shared" si="221"/>
        <v>1634070</v>
      </c>
      <c r="AD287" s="67">
        <f t="shared" si="221"/>
        <v>0</v>
      </c>
      <c r="AE287" s="67">
        <f t="shared" si="221"/>
        <v>0</v>
      </c>
      <c r="AF287" s="67">
        <f t="shared" si="221"/>
        <v>0</v>
      </c>
      <c r="AG287" s="67">
        <f t="shared" si="221"/>
        <v>15604275.75</v>
      </c>
      <c r="AH287" s="67">
        <f t="shared" si="222"/>
        <v>3699449.0416666665</v>
      </c>
      <c r="AI287" s="67">
        <f t="shared" si="226"/>
        <v>3699449.0416666665</v>
      </c>
      <c r="AJ287" s="67">
        <f t="shared" si="226"/>
        <v>3699449.0416666665</v>
      </c>
      <c r="AK287" s="67"/>
      <c r="AL287" s="67"/>
      <c r="AM287" s="67"/>
      <c r="AN287" s="67">
        <f t="shared" si="224"/>
        <v>33018542.875000004</v>
      </c>
    </row>
    <row r="288" spans="2:40" outlineLevel="2" x14ac:dyDescent="0.25">
      <c r="B288" s="63" t="s">
        <v>343</v>
      </c>
      <c r="C288" s="64">
        <v>891600091</v>
      </c>
      <c r="D288" s="65" t="s">
        <v>140</v>
      </c>
      <c r="E288" s="66">
        <v>222</v>
      </c>
      <c r="F288" s="66">
        <v>2510700</v>
      </c>
      <c r="G288" s="66">
        <v>154213162</v>
      </c>
      <c r="H288" s="66">
        <f t="shared" si="225"/>
        <v>156723862</v>
      </c>
      <c r="I288" s="66">
        <v>21261920</v>
      </c>
      <c r="J288" s="66">
        <v>0</v>
      </c>
      <c r="K288" s="66">
        <v>10784595</v>
      </c>
      <c r="L288" s="66">
        <v>0</v>
      </c>
      <c r="M288" s="66">
        <v>7076906</v>
      </c>
      <c r="N288" s="66">
        <v>269697028</v>
      </c>
      <c r="O288" s="66">
        <v>0</v>
      </c>
      <c r="P288" s="66">
        <v>0</v>
      </c>
      <c r="Q288" s="67">
        <f t="shared" si="205"/>
        <v>465544311</v>
      </c>
      <c r="S288" s="68">
        <f t="shared" si="214"/>
        <v>78361931</v>
      </c>
      <c r="T288" s="67">
        <f t="shared" si="214"/>
        <v>10630960</v>
      </c>
      <c r="U288" s="67">
        <f t="shared" si="215"/>
        <v>0</v>
      </c>
      <c r="V288" s="67">
        <f t="shared" si="216"/>
        <v>7549216.4999999991</v>
      </c>
      <c r="W288" s="67">
        <f t="shared" si="217"/>
        <v>0</v>
      </c>
      <c r="X288" s="67">
        <f t="shared" si="218"/>
        <v>5307679.5</v>
      </c>
      <c r="Y288" s="67">
        <f t="shared" si="219"/>
        <v>181847262</v>
      </c>
      <c r="Z288" s="67">
        <f t="shared" si="220"/>
        <v>283697049</v>
      </c>
      <c r="AA288" s="62"/>
      <c r="AB288" s="67">
        <f t="shared" si="221"/>
        <v>78361931</v>
      </c>
      <c r="AC288" s="67">
        <f t="shared" si="221"/>
        <v>10630960</v>
      </c>
      <c r="AD288" s="67">
        <f t="shared" si="221"/>
        <v>0</v>
      </c>
      <c r="AE288" s="67">
        <f t="shared" si="221"/>
        <v>7549216.4999999991</v>
      </c>
      <c r="AF288" s="67">
        <f t="shared" si="221"/>
        <v>0</v>
      </c>
      <c r="AG288" s="67">
        <f t="shared" si="221"/>
        <v>5307679.5</v>
      </c>
      <c r="AH288" s="67">
        <f t="shared" si="222"/>
        <v>60615754</v>
      </c>
      <c r="AI288" s="67">
        <f t="shared" si="226"/>
        <v>60615754</v>
      </c>
      <c r="AJ288" s="67">
        <f t="shared" si="226"/>
        <v>60615754</v>
      </c>
      <c r="AK288" s="67"/>
      <c r="AL288" s="67"/>
      <c r="AM288" s="67"/>
      <c r="AN288" s="67">
        <f t="shared" si="224"/>
        <v>283697049</v>
      </c>
    </row>
    <row r="289" spans="2:40" outlineLevel="2" x14ac:dyDescent="0.25">
      <c r="B289" s="63" t="s">
        <v>343</v>
      </c>
      <c r="C289" s="64">
        <v>891856000</v>
      </c>
      <c r="D289" s="65" t="s">
        <v>141</v>
      </c>
      <c r="E289" s="66">
        <v>671</v>
      </c>
      <c r="F289" s="66">
        <v>0</v>
      </c>
      <c r="G289" s="66">
        <v>3660977</v>
      </c>
      <c r="H289" s="66">
        <f t="shared" si="225"/>
        <v>3660977</v>
      </c>
      <c r="I289" s="66">
        <v>7446898</v>
      </c>
      <c r="J289" s="66">
        <v>3812969</v>
      </c>
      <c r="K289" s="66">
        <v>5081648</v>
      </c>
      <c r="L289" s="66">
        <v>366806762</v>
      </c>
      <c r="M289" s="66">
        <v>492272734</v>
      </c>
      <c r="N289" s="66">
        <v>872680142</v>
      </c>
      <c r="O289" s="66">
        <v>0</v>
      </c>
      <c r="P289" s="66">
        <v>0</v>
      </c>
      <c r="Q289" s="67">
        <f t="shared" si="205"/>
        <v>1751762130</v>
      </c>
      <c r="S289" s="68">
        <f t="shared" si="214"/>
        <v>1830488.5</v>
      </c>
      <c r="T289" s="67">
        <f t="shared" si="214"/>
        <v>3723449</v>
      </c>
      <c r="U289" s="67">
        <f t="shared" si="215"/>
        <v>2287781.4</v>
      </c>
      <c r="V289" s="67">
        <f t="shared" si="216"/>
        <v>3557153.5999999996</v>
      </c>
      <c r="W289" s="67">
        <f t="shared" si="217"/>
        <v>256764733.39999998</v>
      </c>
      <c r="X289" s="67">
        <f>+M289*0.5</f>
        <v>246136367</v>
      </c>
      <c r="Y289" s="67">
        <f>(Q289-S289-T289-U289-V289-W289-X289)*10%</f>
        <v>123746215.70999999</v>
      </c>
      <c r="Z289" s="67">
        <f t="shared" si="220"/>
        <v>638046188.61000001</v>
      </c>
      <c r="AA289" s="62"/>
      <c r="AB289" s="67">
        <f t="shared" si="221"/>
        <v>1830488.5</v>
      </c>
      <c r="AC289" s="67">
        <f t="shared" si="221"/>
        <v>3723449</v>
      </c>
      <c r="AD289" s="67">
        <f t="shared" si="221"/>
        <v>2287781.4</v>
      </c>
      <c r="AE289" s="67">
        <f t="shared" si="221"/>
        <v>3557153.5999999996</v>
      </c>
      <c r="AF289" s="67">
        <f t="shared" si="221"/>
        <v>256764733.39999998</v>
      </c>
      <c r="AG289" s="67">
        <f t="shared" si="221"/>
        <v>246136367</v>
      </c>
      <c r="AH289" s="67">
        <f t="shared" si="222"/>
        <v>41248738.57</v>
      </c>
      <c r="AI289" s="67">
        <f t="shared" si="226"/>
        <v>41248738.57</v>
      </c>
      <c r="AJ289" s="67">
        <f t="shared" si="226"/>
        <v>41248738.57</v>
      </c>
      <c r="AK289" s="67"/>
      <c r="AL289" s="67"/>
      <c r="AM289" s="67"/>
      <c r="AN289" s="67">
        <f t="shared" si="224"/>
        <v>638046188.61000013</v>
      </c>
    </row>
    <row r="290" spans="2:40" outlineLevel="2" x14ac:dyDescent="0.25">
      <c r="B290" s="63" t="s">
        <v>343</v>
      </c>
      <c r="C290" s="64">
        <v>900156264</v>
      </c>
      <c r="D290" s="65" t="s">
        <v>142</v>
      </c>
      <c r="E290" s="66">
        <v>6721</v>
      </c>
      <c r="F290" s="66">
        <v>252781803.06999999</v>
      </c>
      <c r="G290" s="66">
        <v>986452483.01999998</v>
      </c>
      <c r="H290" s="66">
        <f t="shared" si="225"/>
        <v>1239234286.0899999</v>
      </c>
      <c r="I290" s="66">
        <v>850966480</v>
      </c>
      <c r="J290" s="66">
        <v>1163195796</v>
      </c>
      <c r="K290" s="66">
        <v>955177636</v>
      </c>
      <c r="L290" s="66">
        <v>3120413919</v>
      </c>
      <c r="M290" s="66">
        <v>3231402548</v>
      </c>
      <c r="N290" s="66">
        <v>531856294</v>
      </c>
      <c r="O290" s="66">
        <v>0</v>
      </c>
      <c r="P290" s="66">
        <v>0</v>
      </c>
      <c r="Q290" s="67">
        <f t="shared" si="205"/>
        <v>11092246959.09</v>
      </c>
      <c r="S290" s="68">
        <f t="shared" si="214"/>
        <v>619617143.04499996</v>
      </c>
      <c r="T290" s="67">
        <f t="shared" si="214"/>
        <v>425483240</v>
      </c>
      <c r="U290" s="67">
        <f t="shared" si="215"/>
        <v>697917477.60000002</v>
      </c>
      <c r="V290" s="67">
        <f t="shared" si="216"/>
        <v>668624345.19999993</v>
      </c>
      <c r="W290" s="67">
        <f t="shared" si="217"/>
        <v>2184289743.2999997</v>
      </c>
      <c r="X290" s="67">
        <f t="shared" si="218"/>
        <v>2423551911</v>
      </c>
      <c r="Y290" s="67">
        <f>(Q290-S290-T290-U290-V290-W290-X290)*10%</f>
        <v>407276309.89450002</v>
      </c>
      <c r="Z290" s="67">
        <f t="shared" si="220"/>
        <v>7426760170.0394993</v>
      </c>
      <c r="AA290" s="62"/>
      <c r="AB290" s="67">
        <f>7426760170.0395-AC290-AD290-AE290-AF290</f>
        <v>5634735107.2395</v>
      </c>
      <c r="AC290" s="67">
        <f t="shared" si="221"/>
        <v>425483240</v>
      </c>
      <c r="AD290" s="67">
        <f t="shared" si="221"/>
        <v>697917477.60000002</v>
      </c>
      <c r="AE290" s="67">
        <f t="shared" si="221"/>
        <v>668624345.19999993</v>
      </c>
      <c r="AF290" s="67">
        <v>0</v>
      </c>
      <c r="AG290" s="67"/>
      <c r="AH290" s="67"/>
      <c r="AI290" s="67"/>
      <c r="AJ290" s="67"/>
      <c r="AK290" s="67"/>
      <c r="AL290" s="67"/>
      <c r="AM290" s="67"/>
      <c r="AN290" s="67">
        <f t="shared" si="224"/>
        <v>7426760170.0395002</v>
      </c>
    </row>
    <row r="291" spans="2:40" outlineLevel="2" x14ac:dyDescent="0.25">
      <c r="B291" s="63" t="s">
        <v>343</v>
      </c>
      <c r="C291" s="64">
        <v>900226715</v>
      </c>
      <c r="D291" s="65" t="s">
        <v>120</v>
      </c>
      <c r="E291" s="66">
        <v>30982</v>
      </c>
      <c r="F291" s="66">
        <v>33937181.259999998</v>
      </c>
      <c r="G291" s="66">
        <v>900702175</v>
      </c>
      <c r="H291" s="66">
        <f t="shared" si="225"/>
        <v>934639356.25999999</v>
      </c>
      <c r="I291" s="66">
        <v>780098534</v>
      </c>
      <c r="J291" s="66">
        <v>1204439902</v>
      </c>
      <c r="K291" s="66">
        <v>1076145962</v>
      </c>
      <c r="L291" s="66">
        <v>3202347811</v>
      </c>
      <c r="M291" s="66">
        <v>3801606523.23</v>
      </c>
      <c r="N291" s="66">
        <v>2804682021</v>
      </c>
      <c r="O291" s="66">
        <v>-1947654350</v>
      </c>
      <c r="P291" s="66">
        <v>-464707284</v>
      </c>
      <c r="Q291" s="67">
        <f t="shared" si="205"/>
        <v>11391598475.49</v>
      </c>
      <c r="S291" s="68">
        <f t="shared" si="214"/>
        <v>467319678.13</v>
      </c>
      <c r="T291" s="67">
        <f t="shared" si="214"/>
        <v>390049267</v>
      </c>
      <c r="U291" s="67">
        <f t="shared" si="215"/>
        <v>722663941.19999993</v>
      </c>
      <c r="V291" s="67">
        <f t="shared" si="216"/>
        <v>753302173.39999998</v>
      </c>
      <c r="W291" s="67">
        <f t="shared" si="217"/>
        <v>2241643467.6999998</v>
      </c>
      <c r="X291" s="67">
        <f t="shared" si="218"/>
        <v>2851204892.4225001</v>
      </c>
      <c r="Y291" s="67">
        <f>(Q291-S291-T291-U291-V291-W291-X291)*10%</f>
        <v>396541505.56375003</v>
      </c>
      <c r="Z291" s="67">
        <f t="shared" si="220"/>
        <v>7822724925.4162512</v>
      </c>
      <c r="AA291" s="62"/>
      <c r="AB291" s="67">
        <f t="shared" si="221"/>
        <v>467319678.13</v>
      </c>
      <c r="AC291" s="67">
        <f t="shared" si="221"/>
        <v>390049267</v>
      </c>
      <c r="AD291" s="67">
        <f t="shared" si="221"/>
        <v>722663941.19999993</v>
      </c>
      <c r="AE291" s="67">
        <f t="shared" si="221"/>
        <v>753302173.39999998</v>
      </c>
      <c r="AF291" s="67">
        <f t="shared" si="221"/>
        <v>2241643467.6999998</v>
      </c>
      <c r="AG291" s="67">
        <f t="shared" si="221"/>
        <v>2851204892.4225001</v>
      </c>
      <c r="AH291" s="67">
        <f t="shared" si="222"/>
        <v>132180501.85458334</v>
      </c>
      <c r="AI291" s="67">
        <f t="shared" si="226"/>
        <v>132180501.85458334</v>
      </c>
      <c r="AJ291" s="67">
        <f t="shared" si="226"/>
        <v>132180501.85458334</v>
      </c>
      <c r="AK291" s="67"/>
      <c r="AL291" s="67"/>
      <c r="AM291" s="67"/>
      <c r="AN291" s="67">
        <f t="shared" si="224"/>
        <v>7822724925.4162521</v>
      </c>
    </row>
    <row r="292" spans="2:40" outlineLevel="2" x14ac:dyDescent="0.25">
      <c r="B292" s="63" t="s">
        <v>343</v>
      </c>
      <c r="C292" s="64">
        <v>900298372</v>
      </c>
      <c r="D292" s="65" t="s">
        <v>143</v>
      </c>
      <c r="E292" s="66">
        <v>166019</v>
      </c>
      <c r="F292" s="66">
        <v>1913369362.1800001</v>
      </c>
      <c r="G292" s="66">
        <v>19409001173</v>
      </c>
      <c r="H292" s="66">
        <f t="shared" si="225"/>
        <v>21322370535.18</v>
      </c>
      <c r="I292" s="66">
        <f>3036854185</f>
        <v>3036854185</v>
      </c>
      <c r="J292" s="66">
        <f>2794206338</f>
        <v>2794206338</v>
      </c>
      <c r="K292" s="66">
        <v>3780387909</v>
      </c>
      <c r="L292" s="66">
        <f>6176501333-703964</f>
        <v>6175797369</v>
      </c>
      <c r="M292" s="66">
        <v>2798864441.0799999</v>
      </c>
      <c r="N292" s="66">
        <v>2343363931</v>
      </c>
      <c r="O292" s="66">
        <v>-1009378351</v>
      </c>
      <c r="P292" s="66">
        <v>-1659406610</v>
      </c>
      <c r="Q292" s="67">
        <f>SUM(H292:P292)</f>
        <v>39583059747.260002</v>
      </c>
      <c r="S292" s="68">
        <f>+G292</f>
        <v>19409001173</v>
      </c>
      <c r="T292" s="67">
        <f t="shared" si="214"/>
        <v>1518427092.5</v>
      </c>
      <c r="U292" s="67">
        <f t="shared" si="215"/>
        <v>1676523802.8</v>
      </c>
      <c r="V292" s="67">
        <f t="shared" si="216"/>
        <v>2646271536.2999997</v>
      </c>
      <c r="W292" s="67">
        <f t="shared" si="217"/>
        <v>4323058158.3000002</v>
      </c>
      <c r="X292" s="67">
        <f t="shared" si="218"/>
        <v>2099148330.8099999</v>
      </c>
      <c r="Y292" s="67">
        <f>(Q292-S292-T292-U292-V292-W292-X292)*10%</f>
        <v>791062965.3550005</v>
      </c>
      <c r="Z292" s="67">
        <f t="shared" si="220"/>
        <v>32463493059.064999</v>
      </c>
      <c r="AA292" s="62"/>
      <c r="AB292" s="67">
        <f>+Z292-AC292-AD292-AE292-AF292-AG292-AH292-AI292-AJ292</f>
        <v>21051720880.000004</v>
      </c>
      <c r="AC292" s="67">
        <f t="shared" si="221"/>
        <v>1518427092.5</v>
      </c>
      <c r="AD292" s="67">
        <f t="shared" si="221"/>
        <v>1676523802.8</v>
      </c>
      <c r="AE292" s="67">
        <f>+V292-1642719707</f>
        <v>1003551829.2999997</v>
      </c>
      <c r="AF292" s="67">
        <f t="shared" si="221"/>
        <v>4323058158.3000002</v>
      </c>
      <c r="AG292" s="67">
        <f t="shared" si="221"/>
        <v>2099148330.8099999</v>
      </c>
      <c r="AH292" s="67">
        <f t="shared" si="222"/>
        <v>263687655.11833349</v>
      </c>
      <c r="AI292" s="67">
        <f t="shared" si="226"/>
        <v>263687655.11833349</v>
      </c>
      <c r="AJ292" s="67">
        <f t="shared" si="226"/>
        <v>263687655.11833349</v>
      </c>
      <c r="AK292" s="67"/>
      <c r="AL292" s="67"/>
      <c r="AM292" s="67"/>
      <c r="AN292" s="67">
        <f t="shared" si="224"/>
        <v>32463493059.064999</v>
      </c>
    </row>
    <row r="293" spans="2:40" outlineLevel="2" x14ac:dyDescent="0.25">
      <c r="B293" s="63" t="s">
        <v>343</v>
      </c>
      <c r="C293" s="64">
        <v>900604350</v>
      </c>
      <c r="D293" s="65" t="s">
        <v>144</v>
      </c>
      <c r="E293" s="66">
        <v>523</v>
      </c>
      <c r="F293" s="66">
        <v>3550776</v>
      </c>
      <c r="G293" s="66">
        <v>60590950</v>
      </c>
      <c r="H293" s="66">
        <f t="shared" si="225"/>
        <v>64141726</v>
      </c>
      <c r="I293" s="66">
        <v>132106901</v>
      </c>
      <c r="J293" s="66">
        <v>15756306</v>
      </c>
      <c r="K293" s="66">
        <v>62610742</v>
      </c>
      <c r="L293" s="66">
        <v>139314437</v>
      </c>
      <c r="M293" s="66">
        <v>117680565</v>
      </c>
      <c r="N293" s="66">
        <v>434840965.19999999</v>
      </c>
      <c r="O293" s="66">
        <v>0</v>
      </c>
      <c r="P293" s="66">
        <v>0</v>
      </c>
      <c r="Q293" s="67">
        <f t="shared" ref="Q293:Q300" si="227">SUM(H293:P293)</f>
        <v>966451642.20000005</v>
      </c>
      <c r="S293" s="68">
        <f t="shared" si="214"/>
        <v>32070863</v>
      </c>
      <c r="T293" s="67">
        <f t="shared" si="214"/>
        <v>66053450.5</v>
      </c>
      <c r="U293" s="67">
        <f t="shared" si="215"/>
        <v>9453783.5999999996</v>
      </c>
      <c r="V293" s="67">
        <f t="shared" si="216"/>
        <v>43827519.399999999</v>
      </c>
      <c r="W293" s="67">
        <f t="shared" si="217"/>
        <v>97520105.899999991</v>
      </c>
      <c r="X293" s="67">
        <f t="shared" si="218"/>
        <v>88260423.75</v>
      </c>
      <c r="Y293" s="67">
        <f t="shared" si="219"/>
        <v>314632748.02500004</v>
      </c>
      <c r="Z293" s="67">
        <f t="shared" si="220"/>
        <v>651818894.17499995</v>
      </c>
      <c r="AA293" s="62"/>
      <c r="AB293" s="67">
        <f t="shared" si="221"/>
        <v>32070863</v>
      </c>
      <c r="AC293" s="67">
        <f t="shared" si="221"/>
        <v>66053450.5</v>
      </c>
      <c r="AD293" s="67">
        <f t="shared" si="221"/>
        <v>9453783.5999999996</v>
      </c>
      <c r="AE293" s="67">
        <f t="shared" si="221"/>
        <v>43827519.399999999</v>
      </c>
      <c r="AF293" s="67">
        <f t="shared" si="221"/>
        <v>97520105.899999991</v>
      </c>
      <c r="AG293" s="67">
        <f t="shared" si="221"/>
        <v>88260423.75</v>
      </c>
      <c r="AH293" s="67">
        <f t="shared" si="222"/>
        <v>104877582.67500001</v>
      </c>
      <c r="AI293" s="67">
        <f t="shared" si="226"/>
        <v>104877582.67500001</v>
      </c>
      <c r="AJ293" s="67">
        <f t="shared" si="226"/>
        <v>104877582.67500001</v>
      </c>
      <c r="AK293" s="67"/>
      <c r="AL293" s="67"/>
      <c r="AM293" s="67"/>
      <c r="AN293" s="67">
        <f t="shared" si="224"/>
        <v>651818894.17499995</v>
      </c>
    </row>
    <row r="294" spans="2:40" outlineLevel="2" x14ac:dyDescent="0.25">
      <c r="B294" s="63" t="s">
        <v>343</v>
      </c>
      <c r="C294" s="64">
        <v>900914254</v>
      </c>
      <c r="D294" s="65" t="s">
        <v>348</v>
      </c>
      <c r="E294" s="66">
        <v>3</v>
      </c>
      <c r="F294" s="66">
        <v>0</v>
      </c>
      <c r="G294" s="66">
        <v>2321552</v>
      </c>
      <c r="H294" s="66">
        <f t="shared" si="225"/>
        <v>2321552</v>
      </c>
      <c r="I294" s="66">
        <v>0</v>
      </c>
      <c r="J294" s="66">
        <v>0</v>
      </c>
      <c r="K294" s="66">
        <v>0</v>
      </c>
      <c r="L294" s="66">
        <v>0</v>
      </c>
      <c r="M294" s="66">
        <v>0</v>
      </c>
      <c r="N294" s="66">
        <v>2263252</v>
      </c>
      <c r="O294" s="66">
        <v>0</v>
      </c>
      <c r="P294" s="66">
        <v>0</v>
      </c>
      <c r="Q294" s="67">
        <f t="shared" si="227"/>
        <v>4584804</v>
      </c>
      <c r="S294" s="68">
        <f t="shared" si="214"/>
        <v>1160776</v>
      </c>
      <c r="T294" s="67">
        <f t="shared" si="214"/>
        <v>0</v>
      </c>
      <c r="U294" s="67">
        <f t="shared" si="215"/>
        <v>0</v>
      </c>
      <c r="V294" s="67">
        <f t="shared" si="216"/>
        <v>0</v>
      </c>
      <c r="W294" s="67">
        <f t="shared" si="217"/>
        <v>0</v>
      </c>
      <c r="X294" s="67">
        <f t="shared" si="218"/>
        <v>0</v>
      </c>
      <c r="Y294" s="67">
        <f t="shared" si="219"/>
        <v>1712014</v>
      </c>
      <c r="Z294" s="67">
        <f t="shared" si="220"/>
        <v>2872790</v>
      </c>
      <c r="AA294" s="62"/>
      <c r="AB294" s="67">
        <f t="shared" si="221"/>
        <v>1160776</v>
      </c>
      <c r="AC294" s="67">
        <f t="shared" si="221"/>
        <v>0</v>
      </c>
      <c r="AD294" s="67">
        <f t="shared" si="221"/>
        <v>0</v>
      </c>
      <c r="AE294" s="67">
        <f t="shared" si="221"/>
        <v>0</v>
      </c>
      <c r="AF294" s="67">
        <f t="shared" si="221"/>
        <v>0</v>
      </c>
      <c r="AG294" s="67">
        <f t="shared" si="221"/>
        <v>0</v>
      </c>
      <c r="AH294" s="67">
        <f t="shared" si="222"/>
        <v>570671.33333333337</v>
      </c>
      <c r="AI294" s="67">
        <f t="shared" si="226"/>
        <v>570671.33333333337</v>
      </c>
      <c r="AJ294" s="67">
        <f t="shared" si="226"/>
        <v>570671.33333333337</v>
      </c>
      <c r="AK294" s="67"/>
      <c r="AL294" s="67"/>
      <c r="AM294" s="67"/>
      <c r="AN294" s="67">
        <f t="shared" si="224"/>
        <v>2872790.0000000005</v>
      </c>
    </row>
    <row r="295" spans="2:40" outlineLevel="2" x14ac:dyDescent="0.25">
      <c r="B295" s="63" t="s">
        <v>343</v>
      </c>
      <c r="C295" s="64">
        <v>900935126</v>
      </c>
      <c r="D295" s="65" t="s">
        <v>145</v>
      </c>
      <c r="E295" s="66">
        <v>1476</v>
      </c>
      <c r="F295" s="66">
        <v>3210946.4</v>
      </c>
      <c r="G295" s="66">
        <v>235828151</v>
      </c>
      <c r="H295" s="66">
        <f t="shared" si="225"/>
        <v>239039097.40000001</v>
      </c>
      <c r="I295" s="66">
        <v>164180739</v>
      </c>
      <c r="J295" s="66">
        <v>13117220</v>
      </c>
      <c r="K295" s="66">
        <v>42436759</v>
      </c>
      <c r="L295" s="66">
        <v>241932275.5</v>
      </c>
      <c r="M295" s="66">
        <v>224180044</v>
      </c>
      <c r="N295" s="66">
        <v>720882613.89999998</v>
      </c>
      <c r="O295" s="66">
        <v>0</v>
      </c>
      <c r="P295" s="66">
        <v>0</v>
      </c>
      <c r="Q295" s="67">
        <f t="shared" si="227"/>
        <v>1645768748.8</v>
      </c>
      <c r="S295" s="68">
        <f t="shared" si="214"/>
        <v>119519548.7</v>
      </c>
      <c r="T295" s="67">
        <f t="shared" si="214"/>
        <v>82090369.5</v>
      </c>
      <c r="U295" s="67">
        <f t="shared" si="215"/>
        <v>7870332</v>
      </c>
      <c r="V295" s="67">
        <f t="shared" si="216"/>
        <v>29705731.299999997</v>
      </c>
      <c r="W295" s="67">
        <f t="shared" si="217"/>
        <v>169352592.84999999</v>
      </c>
      <c r="X295" s="67">
        <f t="shared" si="218"/>
        <v>168135033</v>
      </c>
      <c r="Y295" s="67">
        <f t="shared" ref="Y295:Y296" si="228">(Q295-S295-T295-U295-V295-W295-X295)*10%</f>
        <v>106909514.14500001</v>
      </c>
      <c r="Z295" s="67">
        <f t="shared" si="220"/>
        <v>683583121.495</v>
      </c>
      <c r="AA295" s="62"/>
      <c r="AB295" s="67">
        <f t="shared" si="221"/>
        <v>119519548.7</v>
      </c>
      <c r="AC295" s="67">
        <f t="shared" si="221"/>
        <v>82090369.5</v>
      </c>
      <c r="AD295" s="67">
        <f t="shared" si="221"/>
        <v>7870332</v>
      </c>
      <c r="AE295" s="67">
        <f t="shared" si="221"/>
        <v>29705731.299999997</v>
      </c>
      <c r="AF295" s="67">
        <f t="shared" si="221"/>
        <v>169352592.84999999</v>
      </c>
      <c r="AG295" s="67">
        <f t="shared" si="221"/>
        <v>168135033</v>
      </c>
      <c r="AH295" s="67">
        <f t="shared" si="222"/>
        <v>35636504.715000004</v>
      </c>
      <c r="AI295" s="67">
        <f t="shared" si="226"/>
        <v>35636504.715000004</v>
      </c>
      <c r="AJ295" s="67">
        <f t="shared" si="226"/>
        <v>35636504.715000004</v>
      </c>
      <c r="AK295" s="67"/>
      <c r="AL295" s="67"/>
      <c r="AM295" s="67"/>
      <c r="AN295" s="67">
        <f t="shared" si="224"/>
        <v>683583121.49500012</v>
      </c>
    </row>
    <row r="296" spans="2:40" outlineLevel="2" x14ac:dyDescent="0.25">
      <c r="B296" s="63" t="s">
        <v>343</v>
      </c>
      <c r="C296" s="64">
        <v>901021565</v>
      </c>
      <c r="D296" s="65" t="s">
        <v>146</v>
      </c>
      <c r="E296" s="66">
        <v>1076</v>
      </c>
      <c r="F296" s="66">
        <v>7623470.2000000002</v>
      </c>
      <c r="G296" s="66">
        <v>44981780</v>
      </c>
      <c r="H296" s="66">
        <f t="shared" si="225"/>
        <v>52605250.200000003</v>
      </c>
      <c r="I296" s="66">
        <v>106780121</v>
      </c>
      <c r="J296" s="66">
        <v>23143485</v>
      </c>
      <c r="K296" s="66">
        <v>27447332</v>
      </c>
      <c r="L296" s="66">
        <v>205224454</v>
      </c>
      <c r="M296" s="66">
        <v>122260058</v>
      </c>
      <c r="N296" s="66">
        <v>1158758732</v>
      </c>
      <c r="O296" s="66">
        <v>0</v>
      </c>
      <c r="P296" s="66">
        <v>-89601472</v>
      </c>
      <c r="Q296" s="67">
        <f t="shared" si="227"/>
        <v>1606617960.2</v>
      </c>
      <c r="S296" s="68">
        <f t="shared" si="214"/>
        <v>26302625.100000001</v>
      </c>
      <c r="T296" s="67">
        <f t="shared" si="214"/>
        <v>53390060.5</v>
      </c>
      <c r="U296" s="67">
        <f t="shared" si="215"/>
        <v>13886091</v>
      </c>
      <c r="V296" s="67">
        <f t="shared" si="216"/>
        <v>19213132.399999999</v>
      </c>
      <c r="W296" s="67">
        <f t="shared" si="217"/>
        <v>143657117.79999998</v>
      </c>
      <c r="X296" s="67">
        <f t="shared" si="218"/>
        <v>91695043.5</v>
      </c>
      <c r="Y296" s="67">
        <f t="shared" si="228"/>
        <v>125847388.99000001</v>
      </c>
      <c r="Z296" s="67">
        <f t="shared" si="220"/>
        <v>473991459.28999996</v>
      </c>
      <c r="AA296" s="62"/>
      <c r="AB296" s="67">
        <f t="shared" si="221"/>
        <v>26302625.100000001</v>
      </c>
      <c r="AC296" s="67">
        <f t="shared" si="221"/>
        <v>53390060.5</v>
      </c>
      <c r="AD296" s="67">
        <f t="shared" si="221"/>
        <v>13886091</v>
      </c>
      <c r="AE296" s="67">
        <f t="shared" si="221"/>
        <v>19213132.399999999</v>
      </c>
      <c r="AF296" s="67">
        <f t="shared" si="221"/>
        <v>143657117.79999998</v>
      </c>
      <c r="AG296" s="67">
        <f t="shared" si="221"/>
        <v>91695043.5</v>
      </c>
      <c r="AH296" s="67">
        <f t="shared" si="222"/>
        <v>41949129.663333334</v>
      </c>
      <c r="AI296" s="67">
        <f t="shared" si="226"/>
        <v>41949129.663333334</v>
      </c>
      <c r="AJ296" s="67">
        <f t="shared" si="226"/>
        <v>41949129.663333334</v>
      </c>
      <c r="AK296" s="67"/>
      <c r="AL296" s="67"/>
      <c r="AM296" s="67"/>
      <c r="AN296" s="67">
        <f t="shared" si="224"/>
        <v>473991459.29000002</v>
      </c>
    </row>
    <row r="297" spans="2:40" outlineLevel="2" x14ac:dyDescent="0.25">
      <c r="B297" s="63" t="s">
        <v>343</v>
      </c>
      <c r="C297" s="64">
        <v>901543211</v>
      </c>
      <c r="D297" s="65" t="s">
        <v>147</v>
      </c>
      <c r="E297" s="66">
        <v>3738</v>
      </c>
      <c r="F297" s="66">
        <v>14775368.800000001</v>
      </c>
      <c r="G297" s="66">
        <v>1736013200</v>
      </c>
      <c r="H297" s="66">
        <f t="shared" si="225"/>
        <v>1750788568.8</v>
      </c>
      <c r="I297" s="66">
        <v>134440044</v>
      </c>
      <c r="J297" s="66">
        <v>78079862</v>
      </c>
      <c r="K297" s="66">
        <v>63700</v>
      </c>
      <c r="L297" s="66">
        <v>1116683496</v>
      </c>
      <c r="M297" s="66">
        <v>871336221.70000005</v>
      </c>
      <c r="N297" s="66">
        <v>425732117.88</v>
      </c>
      <c r="O297" s="66">
        <v>-17267112.02</v>
      </c>
      <c r="P297" s="66">
        <v>0</v>
      </c>
      <c r="Q297" s="67">
        <f t="shared" si="227"/>
        <v>4359856898.3599997</v>
      </c>
      <c r="S297" s="68">
        <f>+H297*30%</f>
        <v>525236570.63999999</v>
      </c>
      <c r="T297" s="67">
        <f t="shared" ref="T297:Y297" si="229">+I297*30%</f>
        <v>40332013.199999996</v>
      </c>
      <c r="U297" s="67">
        <f t="shared" si="229"/>
        <v>23423958.599999998</v>
      </c>
      <c r="V297" s="67">
        <f t="shared" si="229"/>
        <v>19110</v>
      </c>
      <c r="W297" s="67">
        <f t="shared" si="229"/>
        <v>335005048.80000001</v>
      </c>
      <c r="X297" s="67">
        <f t="shared" si="229"/>
        <v>261400866.50999999</v>
      </c>
      <c r="Y297" s="67">
        <f t="shared" si="229"/>
        <v>127719635.36399999</v>
      </c>
      <c r="Z297" s="67">
        <f t="shared" si="220"/>
        <v>1313137203.1140001</v>
      </c>
      <c r="AA297" s="62"/>
      <c r="AB297" s="67">
        <f t="shared" si="221"/>
        <v>525236570.63999999</v>
      </c>
      <c r="AC297" s="67">
        <f t="shared" si="221"/>
        <v>40332013.199999996</v>
      </c>
      <c r="AD297" s="67">
        <f t="shared" si="221"/>
        <v>23423958.599999998</v>
      </c>
      <c r="AE297" s="67">
        <f t="shared" si="221"/>
        <v>19110</v>
      </c>
      <c r="AF297" s="67">
        <f t="shared" si="221"/>
        <v>335005048.80000001</v>
      </c>
      <c r="AG297" s="67">
        <f t="shared" si="221"/>
        <v>261400866.50999999</v>
      </c>
      <c r="AH297" s="67">
        <f t="shared" si="222"/>
        <v>42573211.787999995</v>
      </c>
      <c r="AI297" s="67">
        <f t="shared" si="226"/>
        <v>42573211.787999995</v>
      </c>
      <c r="AJ297" s="67">
        <f t="shared" si="226"/>
        <v>42573211.787999995</v>
      </c>
      <c r="AK297" s="67"/>
      <c r="AL297" s="67"/>
      <c r="AM297" s="67"/>
      <c r="AN297" s="67">
        <f t="shared" si="224"/>
        <v>1313137203.1140003</v>
      </c>
    </row>
    <row r="298" spans="2:40" outlineLevel="2" x14ac:dyDescent="0.25">
      <c r="B298" s="63" t="s">
        <v>343</v>
      </c>
      <c r="C298" s="64">
        <v>901543761</v>
      </c>
      <c r="D298" s="65" t="s">
        <v>148</v>
      </c>
      <c r="E298" s="66">
        <v>178</v>
      </c>
      <c r="F298" s="66">
        <v>0</v>
      </c>
      <c r="G298" s="66">
        <v>7630576</v>
      </c>
      <c r="H298" s="66">
        <f t="shared" si="225"/>
        <v>7630576</v>
      </c>
      <c r="I298" s="66">
        <v>0</v>
      </c>
      <c r="J298" s="66">
        <v>17239743</v>
      </c>
      <c r="K298" s="66">
        <v>0</v>
      </c>
      <c r="L298" s="66">
        <v>30763915</v>
      </c>
      <c r="M298" s="66">
        <v>791866</v>
      </c>
      <c r="N298" s="66">
        <v>114161221</v>
      </c>
      <c r="O298" s="66">
        <v>0</v>
      </c>
      <c r="P298" s="66">
        <v>-7278541</v>
      </c>
      <c r="Q298" s="67">
        <f t="shared" si="227"/>
        <v>163308780</v>
      </c>
      <c r="S298" s="68">
        <f t="shared" si="214"/>
        <v>3815288</v>
      </c>
      <c r="T298" s="67">
        <f t="shared" si="214"/>
        <v>0</v>
      </c>
      <c r="U298" s="67">
        <f t="shared" si="215"/>
        <v>10343845.799999999</v>
      </c>
      <c r="V298" s="67">
        <f t="shared" si="216"/>
        <v>0</v>
      </c>
      <c r="W298" s="67">
        <f t="shared" si="217"/>
        <v>21534740.5</v>
      </c>
      <c r="X298" s="67">
        <f t="shared" si="218"/>
        <v>593899.5</v>
      </c>
      <c r="Y298" s="67">
        <f t="shared" si="219"/>
        <v>63510503.099999994</v>
      </c>
      <c r="Z298" s="67">
        <f t="shared" si="220"/>
        <v>99798276.899999991</v>
      </c>
      <c r="AA298" s="62"/>
      <c r="AB298" s="67">
        <f t="shared" si="221"/>
        <v>3815288</v>
      </c>
      <c r="AC298" s="67">
        <f t="shared" si="221"/>
        <v>0</v>
      </c>
      <c r="AD298" s="67">
        <f t="shared" si="221"/>
        <v>10343845.799999999</v>
      </c>
      <c r="AE298" s="67">
        <f t="shared" si="221"/>
        <v>0</v>
      </c>
      <c r="AF298" s="67">
        <f t="shared" si="221"/>
        <v>21534740.5</v>
      </c>
      <c r="AG298" s="67">
        <f t="shared" si="221"/>
        <v>593899.5</v>
      </c>
      <c r="AH298" s="67">
        <f t="shared" si="222"/>
        <v>21170167.699999999</v>
      </c>
      <c r="AI298" s="67">
        <f t="shared" si="226"/>
        <v>21170167.699999999</v>
      </c>
      <c r="AJ298" s="67">
        <f t="shared" si="226"/>
        <v>21170167.699999999</v>
      </c>
      <c r="AK298" s="67"/>
      <c r="AL298" s="67"/>
      <c r="AM298" s="67"/>
      <c r="AN298" s="67">
        <f t="shared" si="224"/>
        <v>99798276.900000006</v>
      </c>
    </row>
    <row r="299" spans="2:40" outlineLevel="2" x14ac:dyDescent="0.25">
      <c r="B299" s="63" t="s">
        <v>343</v>
      </c>
      <c r="C299" s="64">
        <v>1074831762</v>
      </c>
      <c r="D299" s="65" t="s">
        <v>349</v>
      </c>
      <c r="E299" s="66">
        <v>0</v>
      </c>
      <c r="F299" s="66">
        <v>59719.5</v>
      </c>
      <c r="G299" s="66">
        <v>0</v>
      </c>
      <c r="H299" s="66">
        <f t="shared" si="225"/>
        <v>59719.5</v>
      </c>
      <c r="I299" s="66">
        <v>0</v>
      </c>
      <c r="J299" s="66">
        <v>0</v>
      </c>
      <c r="K299" s="66">
        <v>0</v>
      </c>
      <c r="L299" s="66">
        <v>0</v>
      </c>
      <c r="M299" s="66">
        <v>0</v>
      </c>
      <c r="N299" s="66">
        <v>0</v>
      </c>
      <c r="O299" s="66">
        <v>0</v>
      </c>
      <c r="P299" s="66">
        <v>0</v>
      </c>
      <c r="Q299" s="67">
        <f t="shared" si="227"/>
        <v>59719.5</v>
      </c>
      <c r="S299" s="68">
        <f t="shared" si="214"/>
        <v>29859.75</v>
      </c>
      <c r="T299" s="67">
        <f t="shared" si="214"/>
        <v>0</v>
      </c>
      <c r="U299" s="67">
        <f t="shared" si="215"/>
        <v>0</v>
      </c>
      <c r="V299" s="67">
        <f t="shared" si="216"/>
        <v>0</v>
      </c>
      <c r="W299" s="67">
        <f t="shared" si="217"/>
        <v>0</v>
      </c>
      <c r="X299" s="67">
        <f t="shared" si="218"/>
        <v>0</v>
      </c>
      <c r="Y299" s="67">
        <f t="shared" si="219"/>
        <v>14929.875</v>
      </c>
      <c r="Z299" s="67">
        <f t="shared" si="220"/>
        <v>44789.625</v>
      </c>
      <c r="AA299" s="62"/>
      <c r="AB299" s="67">
        <f t="shared" si="221"/>
        <v>29859.75</v>
      </c>
      <c r="AC299" s="67">
        <f t="shared" si="221"/>
        <v>0</v>
      </c>
      <c r="AD299" s="67">
        <f t="shared" si="221"/>
        <v>0</v>
      </c>
      <c r="AE299" s="67">
        <f t="shared" si="221"/>
        <v>0</v>
      </c>
      <c r="AF299" s="67">
        <f t="shared" si="221"/>
        <v>0</v>
      </c>
      <c r="AG299" s="67">
        <f t="shared" si="221"/>
        <v>0</v>
      </c>
      <c r="AH299" s="67">
        <f t="shared" si="222"/>
        <v>4976.625</v>
      </c>
      <c r="AI299" s="67">
        <f t="shared" si="226"/>
        <v>4976.625</v>
      </c>
      <c r="AJ299" s="67">
        <f t="shared" si="226"/>
        <v>4976.625</v>
      </c>
      <c r="AK299" s="67"/>
      <c r="AL299" s="67"/>
      <c r="AM299" s="67"/>
      <c r="AN299" s="67">
        <f t="shared" si="224"/>
        <v>44789.625</v>
      </c>
    </row>
    <row r="300" spans="2:40" ht="12" outlineLevel="2" thickBot="1" x14ac:dyDescent="0.3">
      <c r="B300" s="63" t="s">
        <v>343</v>
      </c>
      <c r="C300" s="64">
        <v>1245082893</v>
      </c>
      <c r="D300" s="65" t="s">
        <v>350</v>
      </c>
      <c r="E300" s="66">
        <v>0</v>
      </c>
      <c r="F300" s="66">
        <v>83979827.590000004</v>
      </c>
      <c r="G300" s="66">
        <v>0</v>
      </c>
      <c r="H300" s="66">
        <f t="shared" si="225"/>
        <v>83979827.590000004</v>
      </c>
      <c r="I300" s="66">
        <v>0</v>
      </c>
      <c r="J300" s="66">
        <v>0</v>
      </c>
      <c r="K300" s="66">
        <v>0</v>
      </c>
      <c r="L300" s="66">
        <v>0</v>
      </c>
      <c r="M300" s="66">
        <v>0</v>
      </c>
      <c r="N300" s="66">
        <v>0</v>
      </c>
      <c r="O300" s="66">
        <v>0</v>
      </c>
      <c r="P300" s="66">
        <v>0</v>
      </c>
      <c r="Q300" s="67">
        <f t="shared" si="227"/>
        <v>83979827.590000004</v>
      </c>
      <c r="S300" s="68">
        <f t="shared" si="214"/>
        <v>41989913.795000002</v>
      </c>
      <c r="T300" s="67">
        <f t="shared" si="214"/>
        <v>0</v>
      </c>
      <c r="U300" s="67">
        <f t="shared" si="215"/>
        <v>0</v>
      </c>
      <c r="V300" s="67">
        <f t="shared" si="216"/>
        <v>0</v>
      </c>
      <c r="W300" s="67">
        <f t="shared" si="217"/>
        <v>0</v>
      </c>
      <c r="X300" s="67">
        <f t="shared" si="218"/>
        <v>0</v>
      </c>
      <c r="Y300" s="67">
        <f t="shared" si="219"/>
        <v>20994956.897500001</v>
      </c>
      <c r="Z300" s="67">
        <f t="shared" si="220"/>
        <v>62984870.692500003</v>
      </c>
      <c r="AA300" s="62"/>
      <c r="AB300" s="67">
        <f t="shared" si="221"/>
        <v>41989913.795000002</v>
      </c>
      <c r="AC300" s="67">
        <f t="shared" si="221"/>
        <v>0</v>
      </c>
      <c r="AD300" s="67">
        <f t="shared" si="221"/>
        <v>0</v>
      </c>
      <c r="AE300" s="67">
        <f t="shared" si="221"/>
        <v>0</v>
      </c>
      <c r="AF300" s="67">
        <f t="shared" si="221"/>
        <v>0</v>
      </c>
      <c r="AG300" s="67">
        <f t="shared" si="221"/>
        <v>0</v>
      </c>
      <c r="AH300" s="67">
        <f t="shared" si="222"/>
        <v>6998318.9658333333</v>
      </c>
      <c r="AI300" s="67">
        <f t="shared" si="226"/>
        <v>6998318.9658333333</v>
      </c>
      <c r="AJ300" s="67">
        <f t="shared" si="226"/>
        <v>6998318.9658333333</v>
      </c>
      <c r="AK300" s="67"/>
      <c r="AL300" s="67"/>
      <c r="AM300" s="67"/>
      <c r="AN300" s="67">
        <f t="shared" si="224"/>
        <v>62984870.69250001</v>
      </c>
    </row>
    <row r="301" spans="2:40" ht="12" outlineLevel="1" thickBot="1" x14ac:dyDescent="0.3">
      <c r="B301" s="75" t="s">
        <v>351</v>
      </c>
      <c r="C301" s="76"/>
      <c r="D301" s="76"/>
      <c r="E301" s="77">
        <f t="shared" ref="E301:Q301" si="230">SUBTOTAL(9,E269:E300)</f>
        <v>225730</v>
      </c>
      <c r="F301" s="77">
        <f t="shared" si="230"/>
        <v>2665547065.2700005</v>
      </c>
      <c r="G301" s="77">
        <f t="shared" si="230"/>
        <v>26199218379.32</v>
      </c>
      <c r="H301" s="77">
        <f t="shared" si="230"/>
        <v>28864765444.59</v>
      </c>
      <c r="I301" s="77">
        <f t="shared" si="230"/>
        <v>8595973257</v>
      </c>
      <c r="J301" s="77">
        <f t="shared" si="230"/>
        <v>8293482763</v>
      </c>
      <c r="K301" s="77">
        <f t="shared" si="230"/>
        <v>7893760488</v>
      </c>
      <c r="L301" s="77">
        <f t="shared" si="230"/>
        <v>16787567314.700001</v>
      </c>
      <c r="M301" s="77">
        <f t="shared" si="230"/>
        <v>12632174557.980001</v>
      </c>
      <c r="N301" s="77">
        <f t="shared" si="230"/>
        <v>12613231758.84</v>
      </c>
      <c r="O301" s="77">
        <f t="shared" si="230"/>
        <v>-4299503955.0200005</v>
      </c>
      <c r="P301" s="77">
        <f t="shared" si="230"/>
        <v>-4039200071</v>
      </c>
      <c r="Q301" s="78">
        <f t="shared" si="230"/>
        <v>87342251558.089996</v>
      </c>
      <c r="S301" s="79">
        <f t="shared" ref="S301:Z301" si="231">SUBTOTAL(9,S269:S300)</f>
        <v>22830040913.944996</v>
      </c>
      <c r="T301" s="78">
        <f t="shared" si="231"/>
        <v>4271098619.6999998</v>
      </c>
      <c r="U301" s="78">
        <f t="shared" si="231"/>
        <v>4952665699.2000008</v>
      </c>
      <c r="V301" s="78">
        <f t="shared" si="231"/>
        <v>5525606861.5999994</v>
      </c>
      <c r="W301" s="78">
        <f t="shared" si="231"/>
        <v>10948955272.989998</v>
      </c>
      <c r="X301" s="78">
        <f t="shared" si="231"/>
        <v>8897837070.4699993</v>
      </c>
      <c r="Y301" s="78">
        <f t="shared" si="231"/>
        <v>4403482893.1795015</v>
      </c>
      <c r="Z301" s="78">
        <f t="shared" si="231"/>
        <v>61829687331.084503</v>
      </c>
      <c r="AA301" s="62"/>
      <c r="AB301" s="78">
        <f t="shared" ref="AB301:AN301" si="232">SUBTOTAL(9,AB269:AB300)</f>
        <v>30488652074.439499</v>
      </c>
      <c r="AC301" s="78">
        <f t="shared" si="232"/>
        <v>4271098619.6999998</v>
      </c>
      <c r="AD301" s="78">
        <f t="shared" si="232"/>
        <v>4451892872.6000004</v>
      </c>
      <c r="AE301" s="78">
        <f t="shared" si="232"/>
        <v>3382886491.9000001</v>
      </c>
      <c r="AF301" s="78">
        <f t="shared" si="232"/>
        <v>8764665529.6900005</v>
      </c>
      <c r="AG301" s="78">
        <f t="shared" si="232"/>
        <v>6474285159.4700003</v>
      </c>
      <c r="AH301" s="78">
        <f t="shared" si="232"/>
        <v>1332068861.0950003</v>
      </c>
      <c r="AI301" s="78">
        <f t="shared" si="232"/>
        <v>1332068861.0950003</v>
      </c>
      <c r="AJ301" s="78">
        <f t="shared" si="232"/>
        <v>1332068861.0950003</v>
      </c>
      <c r="AK301" s="78">
        <f t="shared" si="232"/>
        <v>0</v>
      </c>
      <c r="AL301" s="78">
        <f t="shared" si="232"/>
        <v>0</v>
      </c>
      <c r="AM301" s="78">
        <f t="shared" si="232"/>
        <v>0</v>
      </c>
      <c r="AN301" s="78">
        <f t="shared" si="232"/>
        <v>61829687331.084503</v>
      </c>
    </row>
    <row r="302" spans="2:40" ht="12" thickBot="1" x14ac:dyDescent="0.3">
      <c r="B302" s="75" t="s">
        <v>352</v>
      </c>
      <c r="C302" s="76"/>
      <c r="D302" s="76"/>
      <c r="E302" s="77">
        <f t="shared" ref="E302:Q302" si="233">SUBTOTAL(9,E7:E300)</f>
        <v>391061</v>
      </c>
      <c r="F302" s="77">
        <f t="shared" si="233"/>
        <v>4488453879.7600002</v>
      </c>
      <c r="G302" s="77">
        <f t="shared" si="233"/>
        <v>38068436901.32</v>
      </c>
      <c r="H302" s="77">
        <f t="shared" si="233"/>
        <v>42556890781.079994</v>
      </c>
      <c r="I302" s="77">
        <f t="shared" si="233"/>
        <v>14578295876</v>
      </c>
      <c r="J302" s="77">
        <f t="shared" si="233"/>
        <v>15017507700.040001</v>
      </c>
      <c r="K302" s="77">
        <f t="shared" si="233"/>
        <v>13362102556</v>
      </c>
      <c r="L302" s="77">
        <f t="shared" si="233"/>
        <v>27513994113.990002</v>
      </c>
      <c r="M302" s="77">
        <f t="shared" si="233"/>
        <v>22277754088.250004</v>
      </c>
      <c r="N302" s="77">
        <f t="shared" si="233"/>
        <v>131675010578.28996</v>
      </c>
      <c r="O302" s="77">
        <f t="shared" si="233"/>
        <v>-4299503955.0200005</v>
      </c>
      <c r="P302" s="77">
        <f t="shared" si="233"/>
        <v>-9063800338.7999992</v>
      </c>
      <c r="Q302" s="78">
        <f t="shared" si="233"/>
        <v>253618251399.82993</v>
      </c>
      <c r="S302" s="79">
        <f t="shared" ref="S302:Z302" si="234">SUBTOTAL(9,S7:S300)</f>
        <v>30221731631.188297</v>
      </c>
      <c r="T302" s="78">
        <f t="shared" si="234"/>
        <v>6641955344.1999998</v>
      </c>
      <c r="U302" s="78">
        <f t="shared" si="234"/>
        <v>8590326948.7399998</v>
      </c>
      <c r="V302" s="78">
        <f t="shared" si="234"/>
        <v>8262995397.499999</v>
      </c>
      <c r="W302" s="78">
        <f t="shared" si="234"/>
        <v>16853408646.207001</v>
      </c>
      <c r="X302" s="78">
        <f t="shared" si="234"/>
        <v>13915911498.754499</v>
      </c>
      <c r="Y302" s="78">
        <f t="shared" si="234"/>
        <v>10141641899.097702</v>
      </c>
      <c r="Z302" s="78">
        <f t="shared" si="234"/>
        <v>94627971365.687485</v>
      </c>
      <c r="AA302" s="62"/>
      <c r="AB302" s="78">
        <f t="shared" ref="AB302:AN302" si="235">SUBTOTAL(9,AB7:AB300)</f>
        <v>38483240944.635796</v>
      </c>
      <c r="AC302" s="78">
        <f t="shared" si="235"/>
        <v>6632675700.1999998</v>
      </c>
      <c r="AD302" s="78">
        <f t="shared" si="235"/>
        <v>10724031926.099997</v>
      </c>
      <c r="AE302" s="78">
        <f t="shared" si="235"/>
        <v>5316107629.7999983</v>
      </c>
      <c r="AF302" s="78">
        <f t="shared" si="235"/>
        <v>13669088537.706999</v>
      </c>
      <c r="AG302" s="78">
        <f t="shared" si="235"/>
        <v>9864629120.7744999</v>
      </c>
      <c r="AH302" s="78">
        <f t="shared" si="235"/>
        <v>3191127641.4833999</v>
      </c>
      <c r="AI302" s="78">
        <f t="shared" si="235"/>
        <v>3191127641.4833999</v>
      </c>
      <c r="AJ302" s="78">
        <f t="shared" si="235"/>
        <v>3191127641.4833999</v>
      </c>
      <c r="AK302" s="78">
        <f t="shared" si="235"/>
        <v>0</v>
      </c>
      <c r="AL302" s="78">
        <f t="shared" si="235"/>
        <v>0</v>
      </c>
      <c r="AM302" s="78">
        <f t="shared" si="235"/>
        <v>364814582.01999998</v>
      </c>
      <c r="AN302" s="78">
        <f t="shared" si="235"/>
        <v>94627971365.687485</v>
      </c>
    </row>
    <row r="303" spans="2:40" x14ac:dyDescent="0.25">
      <c r="B303" s="54"/>
      <c r="C303" s="91"/>
      <c r="D303" s="92"/>
      <c r="E303" s="93"/>
      <c r="F303" s="93"/>
      <c r="G303" s="93"/>
      <c r="H303" s="93"/>
      <c r="K303" s="93"/>
      <c r="L303" s="93"/>
      <c r="M303" s="93"/>
      <c r="N303" s="93"/>
      <c r="O303" s="93"/>
      <c r="P303" s="93"/>
      <c r="Q303" s="93"/>
    </row>
    <row r="304" spans="2:40" x14ac:dyDescent="0.25">
      <c r="B304" s="54"/>
      <c r="C304" s="91"/>
      <c r="D304" s="92"/>
      <c r="E304" s="93"/>
      <c r="F304" s="93"/>
      <c r="G304" s="93"/>
      <c r="H304" s="93"/>
      <c r="K304" s="93"/>
      <c r="L304" s="93"/>
      <c r="M304" s="93"/>
      <c r="N304" s="93"/>
      <c r="O304" s="93"/>
      <c r="P304" s="93"/>
      <c r="Q304" s="93"/>
      <c r="R304" s="62"/>
      <c r="AB304" s="124"/>
      <c r="AN304" s="62">
        <f>+AN302-Z302</f>
        <v>0</v>
      </c>
    </row>
    <row r="305" spans="2:32" x14ac:dyDescent="0.25">
      <c r="B305" s="54"/>
      <c r="C305" s="91"/>
      <c r="D305" s="92"/>
      <c r="E305" s="93"/>
      <c r="F305" s="93"/>
      <c r="G305" s="93"/>
      <c r="H305" s="93"/>
      <c r="K305" s="93"/>
      <c r="L305" s="93"/>
      <c r="M305" s="93"/>
      <c r="N305" s="93"/>
      <c r="O305" s="93"/>
      <c r="P305" s="93"/>
      <c r="Q305" s="93"/>
    </row>
    <row r="306" spans="2:32" x14ac:dyDescent="0.25">
      <c r="B306" s="54" t="s">
        <v>353</v>
      </c>
      <c r="C306" s="91"/>
      <c r="D306" s="92"/>
      <c r="E306" s="93"/>
      <c r="F306" s="93"/>
      <c r="G306" s="93"/>
      <c r="H306" s="93"/>
      <c r="K306" s="93"/>
      <c r="L306" s="93"/>
      <c r="M306" s="93"/>
      <c r="N306" s="93"/>
      <c r="O306" s="93"/>
      <c r="P306" s="93"/>
      <c r="Q306" s="93"/>
    </row>
    <row r="307" spans="2:32" ht="12" thickBot="1" x14ac:dyDescent="0.3">
      <c r="B307" s="54"/>
      <c r="C307" s="91"/>
      <c r="D307" s="92"/>
      <c r="E307" s="93"/>
      <c r="F307" s="93"/>
      <c r="G307" s="93"/>
      <c r="H307" s="93"/>
      <c r="I307" s="93"/>
      <c r="J307" s="93"/>
      <c r="K307" s="93"/>
      <c r="L307" s="93"/>
      <c r="M307" s="93"/>
      <c r="N307" s="93"/>
      <c r="O307" s="93"/>
      <c r="P307" s="93"/>
      <c r="Q307" s="93"/>
      <c r="AB307" s="95" t="s">
        <v>354</v>
      </c>
      <c r="AC307" s="95">
        <v>2023</v>
      </c>
      <c r="AD307" s="95">
        <f>+AC307+1</f>
        <v>2024</v>
      </c>
      <c r="AE307" s="95">
        <f>+AD307+1</f>
        <v>2025</v>
      </c>
      <c r="AF307" s="95" t="s">
        <v>355</v>
      </c>
    </row>
    <row r="308" spans="2:32" ht="23.25" thickBot="1" x14ac:dyDescent="0.3">
      <c r="B308" s="96" t="s">
        <v>356</v>
      </c>
      <c r="C308" s="97"/>
      <c r="D308" s="98"/>
      <c r="E308" s="50" t="s">
        <v>76</v>
      </c>
      <c r="F308" s="51" t="s">
        <v>77</v>
      </c>
      <c r="G308" s="51" t="s">
        <v>78</v>
      </c>
      <c r="H308" s="51" t="s">
        <v>79</v>
      </c>
      <c r="I308" s="52" t="s">
        <v>80</v>
      </c>
      <c r="J308" s="51" t="s">
        <v>81</v>
      </c>
      <c r="K308" s="51" t="s">
        <v>82</v>
      </c>
      <c r="L308" s="51" t="s">
        <v>83</v>
      </c>
      <c r="M308" s="51" t="s">
        <v>84</v>
      </c>
      <c r="N308" s="53" t="s">
        <v>85</v>
      </c>
      <c r="O308" s="51" t="s">
        <v>86</v>
      </c>
      <c r="P308" s="51" t="s">
        <v>87</v>
      </c>
      <c r="Q308" s="51" t="s">
        <v>317</v>
      </c>
      <c r="AB308" s="99" t="s">
        <v>357</v>
      </c>
      <c r="AC308" s="100">
        <v>90409000000</v>
      </c>
      <c r="AD308" s="100">
        <v>83479000000</v>
      </c>
      <c r="AE308" s="100">
        <f>+Z302</f>
        <v>94627971365.687485</v>
      </c>
      <c r="AF308" s="100">
        <v>68119172687.35202</v>
      </c>
    </row>
    <row r="309" spans="2:32" x14ac:dyDescent="0.25">
      <c r="B309" s="101" t="s">
        <v>358</v>
      </c>
      <c r="C309" s="102"/>
      <c r="D309" s="103"/>
      <c r="E309" s="104">
        <v>0</v>
      </c>
      <c r="F309" s="105">
        <v>0</v>
      </c>
      <c r="G309" s="105">
        <v>0</v>
      </c>
      <c r="H309" s="105">
        <v>0</v>
      </c>
      <c r="I309" s="105">
        <v>0</v>
      </c>
      <c r="J309" s="105">
        <v>0</v>
      </c>
      <c r="K309" s="105">
        <v>0</v>
      </c>
      <c r="L309" s="105">
        <v>0</v>
      </c>
      <c r="M309" s="105">
        <v>0</v>
      </c>
      <c r="N309" s="105">
        <v>0</v>
      </c>
      <c r="O309" s="105">
        <v>0</v>
      </c>
      <c r="P309" s="105">
        <v>0</v>
      </c>
      <c r="Q309" s="106">
        <f>SUM(H309:P309)</f>
        <v>0</v>
      </c>
    </row>
    <row r="310" spans="2:32" x14ac:dyDescent="0.25">
      <c r="B310" s="101" t="s">
        <v>359</v>
      </c>
      <c r="C310" s="102"/>
      <c r="D310" s="103"/>
      <c r="E310" s="104">
        <v>0</v>
      </c>
      <c r="F310" s="105">
        <v>0</v>
      </c>
      <c r="G310" s="105">
        <v>0</v>
      </c>
      <c r="H310" s="105">
        <v>0</v>
      </c>
      <c r="I310" s="105">
        <v>54393240.399999999</v>
      </c>
      <c r="J310" s="105">
        <v>0</v>
      </c>
      <c r="K310" s="105">
        <v>0</v>
      </c>
      <c r="L310" s="105">
        <v>0</v>
      </c>
      <c r="M310" s="105">
        <v>0</v>
      </c>
      <c r="N310" s="105">
        <v>0</v>
      </c>
      <c r="O310" s="105">
        <v>0</v>
      </c>
      <c r="P310" s="105">
        <v>0</v>
      </c>
      <c r="Q310" s="106">
        <f>SUM(H310:P310)</f>
        <v>54393240.399999999</v>
      </c>
      <c r="AB310" s="46" t="s">
        <v>360</v>
      </c>
    </row>
    <row r="311" spans="2:32" x14ac:dyDescent="0.25">
      <c r="B311" s="101" t="s">
        <v>361</v>
      </c>
      <c r="C311" s="102"/>
      <c r="D311" s="103"/>
      <c r="E311" s="104">
        <v>0</v>
      </c>
      <c r="F311" s="105">
        <v>0</v>
      </c>
      <c r="G311" s="105">
        <v>0</v>
      </c>
      <c r="H311" s="105">
        <v>0</v>
      </c>
      <c r="I311" s="105">
        <v>14646248.039999999</v>
      </c>
      <c r="J311" s="105">
        <v>0</v>
      </c>
      <c r="K311" s="105">
        <v>0</v>
      </c>
      <c r="L311" s="105">
        <v>0</v>
      </c>
      <c r="M311" s="105">
        <v>0</v>
      </c>
      <c r="N311" s="105">
        <v>0</v>
      </c>
      <c r="O311" s="105">
        <v>0</v>
      </c>
      <c r="P311" s="105">
        <v>0</v>
      </c>
      <c r="Q311" s="106">
        <f>SUM(H311:P311)</f>
        <v>14646248.039999999</v>
      </c>
      <c r="AB311" s="46" t="s">
        <v>362</v>
      </c>
    </row>
    <row r="312" spans="2:32" x14ac:dyDescent="0.25">
      <c r="B312" s="101" t="s">
        <v>363</v>
      </c>
      <c r="C312" s="102"/>
      <c r="D312" s="103"/>
      <c r="E312" s="104">
        <v>0</v>
      </c>
      <c r="F312" s="105">
        <v>0</v>
      </c>
      <c r="G312" s="105">
        <v>0</v>
      </c>
      <c r="H312" s="105">
        <v>0</v>
      </c>
      <c r="I312" s="105">
        <v>2467678885.3000002</v>
      </c>
      <c r="J312" s="105">
        <v>0</v>
      </c>
      <c r="K312" s="105">
        <v>0</v>
      </c>
      <c r="L312" s="105">
        <v>0</v>
      </c>
      <c r="M312" s="105">
        <v>0</v>
      </c>
      <c r="N312" s="105">
        <v>0</v>
      </c>
      <c r="O312" s="105">
        <v>0</v>
      </c>
      <c r="P312" s="105">
        <v>0</v>
      </c>
      <c r="Q312" s="106">
        <f>SUM(H312:P312)</f>
        <v>2467678885.3000002</v>
      </c>
    </row>
    <row r="313" spans="2:32" ht="12" thickBot="1" x14ac:dyDescent="0.3">
      <c r="B313" s="101" t="s">
        <v>364</v>
      </c>
      <c r="C313" s="102"/>
      <c r="D313" s="103"/>
      <c r="E313" s="104">
        <v>0</v>
      </c>
      <c r="F313" s="105">
        <v>0</v>
      </c>
      <c r="G313" s="105">
        <v>0</v>
      </c>
      <c r="H313" s="105">
        <v>0</v>
      </c>
      <c r="I313" s="105">
        <v>0</v>
      </c>
      <c r="J313" s="105">
        <v>0</v>
      </c>
      <c r="K313" s="105">
        <v>0</v>
      </c>
      <c r="L313" s="105">
        <v>0</v>
      </c>
      <c r="M313" s="105">
        <v>0</v>
      </c>
      <c r="N313" s="105">
        <v>4860131220.5599995</v>
      </c>
      <c r="O313" s="105">
        <v>0</v>
      </c>
      <c r="P313" s="105">
        <v>0</v>
      </c>
      <c r="Q313" s="106">
        <f>SUM(H313:P313)</f>
        <v>4860131220.5599995</v>
      </c>
    </row>
    <row r="314" spans="2:32" ht="12" thickBot="1" x14ac:dyDescent="0.3">
      <c r="B314" s="75" t="s">
        <v>365</v>
      </c>
      <c r="C314" s="107"/>
      <c r="D314" s="108"/>
      <c r="E314" s="109">
        <f t="shared" ref="E314:M314" si="236">SUM(E309:E313)</f>
        <v>0</v>
      </c>
      <c r="F314" s="109">
        <f t="shared" si="236"/>
        <v>0</v>
      </c>
      <c r="G314" s="109">
        <f t="shared" si="236"/>
        <v>0</v>
      </c>
      <c r="H314" s="109">
        <f t="shared" si="236"/>
        <v>0</v>
      </c>
      <c r="I314" s="109">
        <f t="shared" si="236"/>
        <v>2536718373.7400002</v>
      </c>
      <c r="J314" s="109">
        <f t="shared" si="236"/>
        <v>0</v>
      </c>
      <c r="K314" s="109">
        <f t="shared" si="236"/>
        <v>0</v>
      </c>
      <c r="L314" s="109">
        <f t="shared" si="236"/>
        <v>0</v>
      </c>
      <c r="M314" s="109">
        <f t="shared" si="236"/>
        <v>0</v>
      </c>
      <c r="N314" s="109">
        <f>SUM(N309:N313)</f>
        <v>4860131220.5599995</v>
      </c>
      <c r="O314" s="109">
        <f t="shared" ref="O314:P314" si="237">SUM(O309:O313)</f>
        <v>0</v>
      </c>
      <c r="P314" s="109">
        <f t="shared" si="237"/>
        <v>0</v>
      </c>
      <c r="Q314" s="110">
        <f>SUM(Q309:Q313)</f>
        <v>7396849594.2999992</v>
      </c>
    </row>
    <row r="315" spans="2:32" ht="12" thickBot="1" x14ac:dyDescent="0.3"/>
    <row r="316" spans="2:32" ht="12" thickBot="1" x14ac:dyDescent="0.3">
      <c r="B316" s="75" t="s">
        <v>366</v>
      </c>
      <c r="C316" s="112"/>
      <c r="D316" s="113"/>
      <c r="E316" s="90">
        <f t="shared" ref="E316:Q316" si="238">+E314+E302</f>
        <v>391061</v>
      </c>
      <c r="F316" s="90">
        <f t="shared" si="238"/>
        <v>4488453879.7600002</v>
      </c>
      <c r="G316" s="90">
        <f t="shared" si="238"/>
        <v>38068436901.32</v>
      </c>
      <c r="H316" s="90">
        <f t="shared" si="238"/>
        <v>42556890781.079994</v>
      </c>
      <c r="I316" s="90">
        <f t="shared" si="238"/>
        <v>17115014249.74</v>
      </c>
      <c r="J316" s="90">
        <f t="shared" si="238"/>
        <v>15017507700.040001</v>
      </c>
      <c r="K316" s="90">
        <f t="shared" si="238"/>
        <v>13362102556</v>
      </c>
      <c r="L316" s="90">
        <f t="shared" si="238"/>
        <v>27513994113.990002</v>
      </c>
      <c r="M316" s="90">
        <f t="shared" si="238"/>
        <v>22277754088.250004</v>
      </c>
      <c r="N316" s="90">
        <f t="shared" si="238"/>
        <v>136535141798.84996</v>
      </c>
      <c r="O316" s="90">
        <f t="shared" si="238"/>
        <v>-4299503955.0200005</v>
      </c>
      <c r="P316" s="90">
        <f t="shared" si="238"/>
        <v>-9063800338.7999992</v>
      </c>
      <c r="Q316" s="79">
        <f t="shared" si="238"/>
        <v>261015100994.12991</v>
      </c>
    </row>
    <row r="317" spans="2:32" x14ac:dyDescent="0.25">
      <c r="B317" s="92"/>
      <c r="C317" s="91"/>
      <c r="D317" s="92"/>
      <c r="E317" s="93"/>
      <c r="F317" s="93"/>
      <c r="G317" s="93"/>
      <c r="H317" s="93"/>
      <c r="I317" s="93"/>
      <c r="J317" s="93"/>
      <c r="K317" s="93"/>
      <c r="L317" s="93"/>
      <c r="M317" s="93"/>
      <c r="N317" s="93"/>
      <c r="O317" s="93"/>
      <c r="P317" s="93"/>
      <c r="Q317" s="93"/>
    </row>
    <row r="318" spans="2:32" x14ac:dyDescent="0.25">
      <c r="B318" s="92"/>
      <c r="C318" s="91"/>
      <c r="D318" s="92"/>
      <c r="E318" s="93"/>
      <c r="F318" s="93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</row>
    <row r="319" spans="2:32" x14ac:dyDescent="0.25">
      <c r="B319" s="92"/>
      <c r="C319" s="91"/>
      <c r="D319" s="92"/>
      <c r="E319" s="93"/>
      <c r="F319" s="93"/>
      <c r="G319" s="93"/>
      <c r="H319" s="93"/>
      <c r="I319" s="93"/>
      <c r="J319" s="93"/>
      <c r="K319" s="93"/>
      <c r="L319" s="93"/>
      <c r="M319" s="93"/>
      <c r="N319" s="93"/>
      <c r="O319" s="93"/>
      <c r="P319" s="93"/>
      <c r="Q319" s="93"/>
    </row>
    <row r="320" spans="2:32" x14ac:dyDescent="0.2">
      <c r="B320" s="114"/>
    </row>
    <row r="321" spans="2:17" customFormat="1" ht="15" x14ac:dyDescent="0.25">
      <c r="B321" s="138" t="s">
        <v>367</v>
      </c>
      <c r="C321" s="138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</row>
    <row r="322" spans="2:17" customFormat="1" ht="15" x14ac:dyDescent="0.25">
      <c r="B322" s="116" t="s">
        <v>368</v>
      </c>
      <c r="C322" s="117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</row>
    <row r="323" spans="2:17" customFormat="1" ht="15" x14ac:dyDescent="0.25">
      <c r="B323" s="116" t="s">
        <v>369</v>
      </c>
      <c r="C323" s="117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</row>
    <row r="324" spans="2:17" customFormat="1" ht="15" x14ac:dyDescent="0.25">
      <c r="B324" s="116"/>
      <c r="C324" s="117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</row>
    <row r="325" spans="2:17" customFormat="1" ht="15" x14ac:dyDescent="0.25">
      <c r="B325" s="116"/>
      <c r="C325" s="117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</row>
    <row r="326" spans="2:17" customFormat="1" ht="15" x14ac:dyDescent="0.25">
      <c r="B326" s="118" t="s">
        <v>370</v>
      </c>
      <c r="C326" s="117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</row>
    <row r="327" spans="2:17" customFormat="1" ht="15" x14ac:dyDescent="0.25">
      <c r="B327" s="116" t="s">
        <v>371</v>
      </c>
      <c r="C327" s="117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</row>
    <row r="328" spans="2:17" customFormat="1" ht="15" x14ac:dyDescent="0.25">
      <c r="B328" s="116" t="s">
        <v>369</v>
      </c>
      <c r="C328" s="117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</row>
    <row r="329" spans="2:17" customFormat="1" ht="15" x14ac:dyDescent="0.25">
      <c r="B329" s="116"/>
      <c r="C329" s="119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</row>
    <row r="330" spans="2:17" customFormat="1" ht="15" x14ac:dyDescent="0.25">
      <c r="B330" s="116"/>
      <c r="C330" s="119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</row>
  </sheetData>
  <autoFilter ref="B6:AN301" xr:uid="{B3E5600F-5950-40D6-BFB4-30EFE816B316}"/>
  <mergeCells count="1">
    <mergeCell ref="B321:C321"/>
  </mergeCells>
  <conditionalFormatting sqref="S1:Z1048576">
    <cfRule type="cellIs" dxfId="1" priority="2" operator="lessThan">
      <formula>0</formula>
    </cfRule>
  </conditionalFormatting>
  <conditionalFormatting sqref="AA7:AA302">
    <cfRule type="cellIs" dxfId="0" priority="1" operator="lessThan">
      <formula>0</formula>
    </cfRule>
  </conditionalFormatting>
  <conditionalFormatting sqref="AB6:AN6">
    <cfRule type="expression" priority="3">
      <formula>"-"</formula>
    </cfRule>
  </conditionalFormatting>
  <pageMargins left="0.94488188976377963" right="0.23622047244094491" top="0.74803149606299213" bottom="0.74803149606299213" header="0.31496062992125984" footer="0.31496062992125984"/>
  <pageSetup paperSize="5" scale="55" fitToHeight="0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RESUMEN FACT</vt:lpstr>
      <vt:lpstr>proyección recaudo total</vt:lpstr>
      <vt:lpstr>recuperación cxc</vt:lpstr>
      <vt:lpstr>'recuperación cxc'!Títulos_a_imprimir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AD1FA20</dc:creator>
  <cp:lastModifiedBy>Jorge Hernando Cabrera Rojas</cp:lastModifiedBy>
  <dcterms:created xsi:type="dcterms:W3CDTF">2025-02-03T16:39:24Z</dcterms:created>
  <dcterms:modified xsi:type="dcterms:W3CDTF">2025-02-19T18:57:25Z</dcterms:modified>
</cp:coreProperties>
</file>